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64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<sst xmlns="http://schemas.openxmlformats.org/spreadsheetml/2006/main" count="4130" uniqueCount="3098">
  <si>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</si>
  <si>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</si>
  <si>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</si>
  <si>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</si>
  <si>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</si>
  <si>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</si>
  <si>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</si>
  <si>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</si>
  <si>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</si>
  <si>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</si>
  <si>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</si>
  <si>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</si>
  <si>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</si>
  <si>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</si>
  <si>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</si>
  <si>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</si>
  <si>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</si>
  <si>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</si>
  <si>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</si>
  <si>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</si>
  <si>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</si>
  <si>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</si>
  <si>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</si>
  <si>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</si>
  <si>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</si>
  <si>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</si>
  <si>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</si>
  <si>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</si>
  <si>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</si>
  <si>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</si>
  <si>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</si>
  <si>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</si>
  <si>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</si>
  <si>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</si>
  <si>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</si>
  <si>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</si>
  <si>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</si>
  <si>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</si>
  <si>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</si>
  <si>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</si>
  <si>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</si>
  <si>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</si>
  <si>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</si>
  <si>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</si>
  <si>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</si>
  <si>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</si>
  <si>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</si>
  <si>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</si>
  <si>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</si>
  <si>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</si>
  <si>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</si>
  <si>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</si>
  <si>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</si>
  <si>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</si>
  <si>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</si>
  <si>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</si>
  <si>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</si>
  <si>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</si>
  <si>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</si>
  <si>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</si>
  <si>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</si>
  <si>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</si>
  <si>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</si>
  <si>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</si>
  <si>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</si>
  <si>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</si>
  <si>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</si>
  <si>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</si>
  <si>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</si>
  <si>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</si>
  <si>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</si>
  <si>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</si>
  <si>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</si>
  <si>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</si>
  <si>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</si>
  <si>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</si>
  <si>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</si>
  <si>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</si>
  <si>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</si>
  <si>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</si>
  <si>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</si>
  <si>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</si>
  <si>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</si>
  <si>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</si>
  <si>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</si>
  <si>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</si>
  <si>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</si>
  <si>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</si>
  <si>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</si>
  <si>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</si>
  <si>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</si>
  <si>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</si>
  <si>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</si>
  <si>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</si>
  <si>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</si>
  <si>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</si>
  <si>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</si>
  <si>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</si>
  <si>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</si>
  <si>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</si>
  <si>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</si>
  <si>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</si>
  <si>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</si>
  <si>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</si>
  <si>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</si>
  <si>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</si>
  <si>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</si>
  <si>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</si>
  <si>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</si>
  <si>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</si>
  <si>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</si>
  <si>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</si>
  <si>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</si>
  <si>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</si>
  <si>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</si>
  <si>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</si>
  <si>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</si>
  <si>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</si>
  <si>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</si>
  <si>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</si>
  <si>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</si>
  <si>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</si>
  <si>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</si>
  <si>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</si>
  <si>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</si>
  <si>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</si>
  <si>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</si>
  <si>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</si>
  <si>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</si>
  <si>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</si>
  <si>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</si>
  <si>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</si>
  <si>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</si>
  <si>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</si>
  <si>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</si>
  <si>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</si>
  <si>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</si>
  <si>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</si>
  <si>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</si>
  <si>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</si>
  <si>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</si>
  <si>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</si>
  <si>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</si>
  <si>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</si>
  <si>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</si>
  <si>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</si>
  <si>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</si>
  <si>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</si>
  <si>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</si>
  <si>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</si>
  <si>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</si>
  <si>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</si>
  <si>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</si>
  <si>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</si>
  <si>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</si>
  <si>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</si>
  <si>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</si>
  <si>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</si>
  <si>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</si>
  <si>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</si>
  <si>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</si>
  <si>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</si>
  <si>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</si>
  <si>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</si>
  <si>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</si>
  <si>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</si>
  <si>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</si>
  <si>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</si>
  <si>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</si>
  <si>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</si>
  <si>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</si>
  <si>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</si>
  <si>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</si>
  <si>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</si>
  <si>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</si>
  <si>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</si>
  <si>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</si>
  <si>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</si>
  <si>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</si>
  <si>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</si>
  <si>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</si>
  <si>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</si>
  <si>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</si>
  <si>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</si>
  <si>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</si>
  <si>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</si>
  <si>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</si>
  <si>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</si>
  <si>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</si>
  <si>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</si>
  <si>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</si>
  <si>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</si>
  <si>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</si>
  <si>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</si>
  <si>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</si>
  <si>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</si>
  <si>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</si>
  <si>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</si>
  <si>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</si>
  <si>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</si>
  <si>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</si>
  <si>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</si>
  <si>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</si>
  <si>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</si>
  <si>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</si>
  <si>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</si>
  <si>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</si>
  <si>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</si>
  <si>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</si>
  <si>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</si>
  <si>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</si>
  <si>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</si>
  <si>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</si>
  <si>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</si>
  <si>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</si>
  <si>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</si>
  <si>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</si>
  <si>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</si>
  <si>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</si>
  <si>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</si>
  <si>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</si>
  <si>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</si>
  <si>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</si>
  <si>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</si>
  <si>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</si>
  <si>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</si>
  <si>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</si>
  <si>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</si>
  <si>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</si>
  <si>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</si>
  <si>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</si>
  <si>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</si>
  <si>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</si>
  <si>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</si>
  <si>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</si>
  <si>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</si>
  <si>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</si>
  <si>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</si>
  <si>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</si>
  <si>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</si>
  <si>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</si>
  <si>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</si>
  <si>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</si>
  <si>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</si>
  <si>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</si>
  <si>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</si>
  <si>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</si>
  <si>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</si>
  <si>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</si>
  <si>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</si>
  <si>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</si>
  <si>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</si>
  <si>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</si>
  <si>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</si>
  <si>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</si>
  <si>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</si>
  <si>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</si>
  <si>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</si>
  <si>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</si>
  <si>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</si>
  <si>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</si>
  <si>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</si>
  <si>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</si>
  <si>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</si>
  <si>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</si>
  <si>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</si>
  <si>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</si>
  <si>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</si>
  <si>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</si>
  <si>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</si>
  <si>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</si>
  <si>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</si>
  <si>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</si>
  <si>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</si>
  <si>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</si>
  <si>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</si>
  <si>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</si>
  <si>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</si>
  <si>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</si>
  <si>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</si>
  <si>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</si>
  <si>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</si>
  <si>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</si>
  <si>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</si>
  <si>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</si>
  <si>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</si>
  <si>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</si>
  <si>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</si>
  <si>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</si>
  <si>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</si>
  <si>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</si>
  <si>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</si>
  <si>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</si>
  <si>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</si>
  <si>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</si>
  <si>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</si>
  <si>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</si>
  <si>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</si>
  <si>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</si>
  <si>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</si>
  <si>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</si>
  <si>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</si>
  <si>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</si>
  <si>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</si>
  <si>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</si>
  <si>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</si>
  <si>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</si>
  <si>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</si>
  <si>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</si>
  <si>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</si>
  <si>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</si>
  <si>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</si>
  <si>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</si>
  <si>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</si>
  <si>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</si>
  <si>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</si>
  <si>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</si>
  <si>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</si>
  <si>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</si>
  <si>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</si>
  <si>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</si>
  <si>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</si>
  <si>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</si>
  <si>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</si>
  <si>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</si>
  <si>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</si>
  <si>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</si>
  <si>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</si>
  <si>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</si>
  <si>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</si>
  <si>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</si>
  <si>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</si>
  <si>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</si>
  <si>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</si>
  <si>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</si>
  <si>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</si>
  <si>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</si>
  <si>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</si>
  <si>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</si>
  <si>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</si>
  <si>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</si>
  <si>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</si>
  <si>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</si>
  <si>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</si>
  <si>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</si>
  <si>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</si>
  <si>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</si>
  <si>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</si>
  <si>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</si>
  <si>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</si>
  <si>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</si>
  <si>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</si>
  <si>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</si>
  <si>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</si>
  <si>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</si>
  <si>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</si>
  <si>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</si>
  <si>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</si>
  <si>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</si>
  <si>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</si>
  <si>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</si>
  <si>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</si>
  <si>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</si>
  <si>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</si>
  <si>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</si>
  <si>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</si>
  <si>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</si>
  <si>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</si>
  <si>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</si>
  <si>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</si>
  <si>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</si>
  <si>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</si>
  <si>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</si>
  <si>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</si>
  <si>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</si>
  <si>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</si>
  <si>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</si>
  <si>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</si>
  <si>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</si>
  <si>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</si>
  <si>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</si>
  <si>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</si>
  <si>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</si>
  <si>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</si>
  <si>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</si>
  <si>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</si>
  <si>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</si>
  <si>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</si>
  <si>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</si>
  <si>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</si>
  <si>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</si>
  <si>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</si>
  <si>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</si>
  <si>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</si>
  <si>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</si>
  <si>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</si>
  <si>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</si>
  <si>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</si>
  <si>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</si>
  <si>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</si>
  <si>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</si>
  <si>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</si>
  <si>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</si>
  <si>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</si>
  <si>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</si>
  <si>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</si>
  <si>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</si>
  <si>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</si>
  <si>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</si>
  <si>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</si>
  <si>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</si>
  <si>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</si>
  <si>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</si>
  <si>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</si>
  <si>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</si>
  <si>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</si>
  <si>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</si>
  <si>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</si>
  <si>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</si>
  <si>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</si>
  <si>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</si>
  <si>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</si>
  <si>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</si>
  <si>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</si>
  <si>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</si>
  <si>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</si>
  <si>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</si>
  <si>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</si>
  <si>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</si>
  <si>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</si>
  <si>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</si>
  <si>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</si>
  <si>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</si>
  <si>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</si>
  <si>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</si>
  <si>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</si>
  <si>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</si>
  <si>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</si>
  <si>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</si>
  <si>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</si>
  <si>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</si>
  <si>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</si>
  <si>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</si>
  <si>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</si>
  <si>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</si>
  <si>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</si>
  <si>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</si>
  <si>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</si>
  <si>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</si>
  <si>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</si>
  <si>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</si>
  <si>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</si>
  <si>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</si>
  <si>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</si>
  <si>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</si>
  <si>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</si>
  <si>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</si>
  <si>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</si>
  <si>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</si>
  <si>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</si>
  <si>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</si>
  <si>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</si>
  <si>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</si>
  <si>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</si>
  <si>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</si>
  <si>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</si>
  <si>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</si>
  <si>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</si>
  <si>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</si>
  <si>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</si>
  <si>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</si>
  <si>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</si>
  <si>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</si>
  <si>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</si>
  <si>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</si>
  <si>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</si>
  <si>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</si>
  <si>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</si>
  <si>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</si>
  <si>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</si>
  <si>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</si>
  <si>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</si>
  <si>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</si>
  <si>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</si>
  <si>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</si>
  <si>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</si>
  <si>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</si>
  <si>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</si>
  <si>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</si>
  <si>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</si>
  <si>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</si>
  <si>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</si>
  <si>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</si>
  <si>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</si>
  <si>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</si>
  <si>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</si>
  <si>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</si>
  <si>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</si>
  <si>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</si>
  <si>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</si>
  <si>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</si>
  <si>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</si>
  <si>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</si>
  <si>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</si>
  <si>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</si>
  <si>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</si>
  <si>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</si>
  <si>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</si>
  <si>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</si>
  <si>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</si>
  <si>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</si>
  <si>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</si>
  <si>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</si>
  <si>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</si>
  <si>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</si>
  <si>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</si>
  <si>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</si>
  <si>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</si>
  <si>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</si>
  <si>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</si>
  <si>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</si>
  <si>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</si>
  <si>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</si>
  <si>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</si>
  <si>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</si>
  <si>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</si>
  <si>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</si>
  <si>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</si>
  <si>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</si>
  <si>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</si>
  <si>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</si>
  <si>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</si>
  <si>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</si>
  <si>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</si>
  <si>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</si>
  <si>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</si>
  <si>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</si>
  <si>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</si>
  <si>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</si>
  <si>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</si>
  <si>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</si>
  <si>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</si>
  <si>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</si>
  <si>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</si>
  <si>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</si>
  <si>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</si>
  <si>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</si>
  <si>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</si>
  <si>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</si>
  <si>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</si>
  <si>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</si>
  <si>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</si>
  <si>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</si>
  <si>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</si>
  <si>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</si>
  <si>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</si>
  <si>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</si>
  <si>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</si>
  <si>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</si>
  <si>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</si>
  <si>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</si>
  <si>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</si>
  <si>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</si>
  <si>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</si>
  <si>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</si>
  <si>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</si>
  <si>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</si>
  <si>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</si>
  <si>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</si>
  <si>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</si>
  <si>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</si>
  <si>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</si>
  <si>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</si>
  <si>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</si>
  <si>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</si>
  <si>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</si>
  <si>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</si>
  <si>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</si>
  <si>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</si>
  <si>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</si>
  <si>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</si>
  <si>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</si>
  <si>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</si>
  <si>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</si>
  <si>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</si>
  <si>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</si>
  <si>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</si>
  <si>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</si>
  <si>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</si>
  <si>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</si>
  <si>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</si>
  <si>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</si>
  <si>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</si>
  <si>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</si>
  <si>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</si>
  <si>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</si>
  <si>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</si>
  <si>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</si>
  <si>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</si>
  <si>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</si>
  <si>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</si>
  <si>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</si>
  <si>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</si>
  <si>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</si>
  <si>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</si>
  <si>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</si>
  <si>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</si>
  <si>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</si>
  <si>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</si>
  <si>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</si>
  <si>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</si>
  <si>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</si>
  <si>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</si>
  <si>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</si>
  <si>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</si>
  <si>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</si>
  <si>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</si>
  <si>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</si>
  <si>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</si>
  <si>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</si>
  <si>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</si>
  <si>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</si>
  <si>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</si>
  <si>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</si>
  <si>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</si>
  <si>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</si>
  <si>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</si>
  <si>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</si>
  <si>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</si>
  <si>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</si>
  <si>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</si>
  <si>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</si>
  <si>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</si>
  <si>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</si>
  <si>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</si>
  <si>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</si>
  <si>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</si>
  <si>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</si>
  <si>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</si>
  <si>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</si>
  <si>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</si>
  <si>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</si>
  <si>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</si>
  <si>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</si>
  <si>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</si>
  <si>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</si>
  <si>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</si>
  <si>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</si>
  <si>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</si>
  <si>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</si>
  <si>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</si>
  <si>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</si>
  <si>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</si>
  <si>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</si>
  <si>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</si>
  <si>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</si>
  <si>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</si>
  <si>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</si>
  <si>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</si>
  <si>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</si>
  <si>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</si>
  <si>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</si>
  <si>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</si>
  <si>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</si>
  <si>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</si>
  <si>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</si>
  <si>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</si>
  <si>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</si>
  <si>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</si>
  <si>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</si>
  <si>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</si>
  <si>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</si>
  <si>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</si>
  <si>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</si>
  <si>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</si>
  <si>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</si>
  <si>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</si>
  <si>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</si>
  <si>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</si>
  <si>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</si>
  <si>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</si>
  <si>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</si>
  <si>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</si>
  <si>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</si>
  <si>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</si>
  <si>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</si>
  <si>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</si>
  <si>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</si>
  <si>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</si>
  <si>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</si>
  <si>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</si>
  <si>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</si>
  <si>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</si>
  <si>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</si>
  <si>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</si>
  <si>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</si>
  <si>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</si>
  <si>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</si>
  <si>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</si>
  <si>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</si>
  <si>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</si>
  <si>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</si>
  <si>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</si>
  <si>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</si>
  <si>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</si>
  <si>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</si>
  <si>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</si>
  <si>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</si>
  <si>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</si>
  <si>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</si>
  <si>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</si>
  <si>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</si>
  <si>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</si>
  <si>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</si>
  <si>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</si>
  <si>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</si>
  <si>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</si>
  <si>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</si>
  <si>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</si>
  <si>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</si>
  <si>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</si>
  <si>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</si>
  <si>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</si>
  <si>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</si>
  <si>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</si>
  <si>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</si>
  <si>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</si>
  <si>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</si>
  <si>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</si>
  <si>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</si>
  <si>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</si>
  <si>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</si>
  <si>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</si>
  <si>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</si>
  <si>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</si>
  <si>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</si>
  <si>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</si>
  <si>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</si>
  <si>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</si>
  <si>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</si>
  <si>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</si>
  <si>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</si>
  <si>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</si>
  <si>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</si>
  <si>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</si>
  <si>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</si>
  <si>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</si>
  <si>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</si>
  <si>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</si>
  <si>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</si>
  <si>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</si>
  <si>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</si>
  <si>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</si>
  <si>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</si>
  <si>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</si>
  <si>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</si>
  <si>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</si>
  <si>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</si>
  <si>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</si>
  <si>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</si>
  <si>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</si>
  <si>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</si>
  <si>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</si>
  <si>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</si>
  <si>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</si>
  <si>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</si>
  <si>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</si>
  <si>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</si>
  <si>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</si>
  <si>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</si>
  <si>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</si>
  <si>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</si>
  <si>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</si>
  <si>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</si>
  <si>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</si>
  <si>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</si>
  <si>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</si>
  <si>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</si>
  <si>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</si>
  <si>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</si>
  <si>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</si>
  <si>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</si>
  <si>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</si>
  <si>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</si>
  <si>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</si>
  <si>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</si>
  <si>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</si>
  <si>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</si>
  <si>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</si>
  <si>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</si>
  <si>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</si>
  <si>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</si>
  <si>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</si>
  <si>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</si>
  <si>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</si>
  <si>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</si>
  <si>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</si>
  <si>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</si>
  <si>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</si>
  <si>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</si>
  <si>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</si>
  <si>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</si>
  <si>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</si>
  <si>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</si>
  <si>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</si>
  <si>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</si>
  <si>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</si>
  <si>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</si>
  <si>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</si>
  <si>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</si>
  <si>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</si>
  <si>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</si>
  <si>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</si>
  <si>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</si>
  <si>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</si>
  <si>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</si>
  <si>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</si>
  <si>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</si>
  <si>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</si>
  <si>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</si>
  <si>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</si>
  <si>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</si>
  <si>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</si>
  <si>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</si>
  <si>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</si>
  <si>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</si>
  <si>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</si>
  <si>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</si>
  <si>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</si>
  <si>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</si>
  <si>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</si>
  <si>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</si>
  <si>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</si>
  <si>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</si>
  <si>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</si>
  <si>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</si>
  <si>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</si>
  <si>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</si>
  <si>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</si>
  <si>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</si>
  <si>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</si>
  <si>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</si>
  <si>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</si>
  <si>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</si>
  <si>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</si>
  <si>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</si>
  <si>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</si>
  <si>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</si>
  <si>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</si>
  <si>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</si>
  <si>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</si>
  <si>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</si>
  <si>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</si>
  <si>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</si>
  <si>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</si>
  <si>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</si>
  <si>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</si>
  <si>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</si>
  <si>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</si>
  <si>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</si>
  <si>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</si>
  <si>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</si>
  <si>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</si>
  <si>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</si>
  <si>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</si>
  <si>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</si>
  <si>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</si>
  <si>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</si>
  <si>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</si>
  <si>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</si>
  <si>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</si>
  <si>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</si>
  <si>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</si>
  <si>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</si>
  <si>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</si>
  <si>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</si>
  <si>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</si>
  <si>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</si>
  <si>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</si>
  <si>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</si>
  <si>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</si>
  <si>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</si>
  <si>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</si>
  <si>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</si>
  <si>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</si>
  <si>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</si>
  <si>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</si>
  <si>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</si>
  <si>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</si>
  <si>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</si>
  <si>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</si>
  <si>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</si>
  <si>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</si>
  <si>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</si>
  <si>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</si>
  <si>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</si>
  <si>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</si>
  <si>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</si>
  <si>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</si>
  <si>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</si>
  <si>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</si>
  <si>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</si>
  <si>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</si>
  <si>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</si>
  <si>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</si>
  <si>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</si>
  <si>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</si>
  <si>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</si>
  <si>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</si>
  <si>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</si>
  <si>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</si>
  <si>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</si>
  <si>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</si>
  <si>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</si>
  <si>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</si>
  <si>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</si>
  <si>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</si>
  <si>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</si>
  <si>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</si>
  <si>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</si>
  <si>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</si>
  <si>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</si>
  <si>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</si>
  <si>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</si>
  <si>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</si>
  <si>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</si>
  <si>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</si>
  <si>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</si>
  <si>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</si>
  <si>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</si>
  <si>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</si>
  <si>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</si>
  <si>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</si>
  <si>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</si>
  <si>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</si>
  <si>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</si>
  <si>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</si>
  <si>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</si>
  <si>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</si>
  <si>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</si>
  <si>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</si>
  <si>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</si>
  <si>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</si>
  <si>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</si>
  <si>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</si>
  <si>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</si>
  <si>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</si>
  <si>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</si>
  <si>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</si>
  <si>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</si>
  <si>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</si>
  <si>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</si>
  <si>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</si>
  <si>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</si>
  <si>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</si>
  <si>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</si>
  <si>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</si>
  <si>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</si>
  <si>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</si>
  <si>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</si>
  <si>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</si>
  <si>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</si>
  <si>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</si>
  <si>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</si>
  <si>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</si>
  <si>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</si>
  <si>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</si>
  <si>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</si>
  <si>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</si>
  <si>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</si>
  <si>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</si>
  <si>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</si>
  <si>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</si>
  <si>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</si>
  <si>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</si>
  <si>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</si>
  <si>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</si>
  <si>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</si>
  <si>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</si>
  <si>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</si>
  <si>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</si>
  <si>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</si>
  <si>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</si>
  <si>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</si>
  <si>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</si>
  <si>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</si>
  <si>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</si>
  <si>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</si>
  <si>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</si>
  <si>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</si>
  <si>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</si>
  <si>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</si>
  <si>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</si>
  <si>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</si>
  <si>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</si>
  <si>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</si>
  <si>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</si>
  <si>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</si>
  <si>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</si>
  <si>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</si>
  <si>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</si>
  <si>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</si>
  <si>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</si>
  <si>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</si>
  <si>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</si>
  <si>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</si>
  <si>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</si>
  <si>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</si>
  <si>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</si>
  <si>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</si>
  <si>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</si>
  <si>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</si>
  <si>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</si>
  <si>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</si>
  <si>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</si>
  <si>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</si>
  <si>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</si>
  <si>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</si>
  <si>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</si>
  <si>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</si>
  <si>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</si>
  <si>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</si>
  <si>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</si>
  <si>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</si>
  <si>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</si>
  <si>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</si>
  <si>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</si>
  <si>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</si>
  <si>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</si>
  <si>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</si>
  <si>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</si>
  <si>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</si>
  <si>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</si>
  <si>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</si>
  <si>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</si>
  <si>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</si>
  <si>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</si>
  <si>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</si>
  <si>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</si>
  <si>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</si>
  <si>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</si>
  <si>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</si>
  <si>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</si>
  <si>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</si>
  <si>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</si>
  <si>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</si>
  <si>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</si>
  <si>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</si>
  <si>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</si>
  <si>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</si>
  <si>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</si>
  <si>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</si>
  <si>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</si>
  <si>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</si>
  <si>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</si>
  <si>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</si>
  <si>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</si>
  <si>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</si>
  <si>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</si>
  <si>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</si>
  <si>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</si>
  <si>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</si>
  <si>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</si>
  <si>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</si>
  <si>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</si>
  <si>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</si>
  <si>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</si>
  <si>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</si>
  <si>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</si>
  <si>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</si>
  <si>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</si>
  <si>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</si>
  <si>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</si>
  <si>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</si>
  <si>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</si>
  <si>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</si>
  <si>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</si>
  <si>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</si>
  <si>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</si>
  <si>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</si>
  <si>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</si>
  <si>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</si>
  <si>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</si>
  <si>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</si>
  <si>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</si>
  <si>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</si>
  <si>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</si>
  <si>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</si>
  <si>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</si>
  <si>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</si>
  <si>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</si>
  <si>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</si>
  <si>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</si>
  <si>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</si>
  <si>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</si>
  <si>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</si>
  <si>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</si>
  <si>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</si>
  <si>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</si>
  <si>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</si>
  <si>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</si>
  <si>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</si>
  <si>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</si>
  <si>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</si>
  <si>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</si>
  <si>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</si>
  <si>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</si>
  <si>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</si>
  <si>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</si>
  <si>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</si>
  <si>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</si>
  <si>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</si>
  <si>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</si>
  <si>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</si>
  <si>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</si>
  <si>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</si>
  <si>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</si>
  <si>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</si>
  <si>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</si>
  <si>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</si>
  <si>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</si>
  <si>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</si>
  <si>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</si>
  <si>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</si>
  <si>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</si>
  <si>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</si>
  <si>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</si>
  <si>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</si>
  <si>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</si>
  <si>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</si>
  <si>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</si>
  <si>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</si>
  <si>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</si>
  <si>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</si>
  <si>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</si>
  <si>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</si>
  <si>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</si>
  <si>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</si>
  <si>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</si>
  <si>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</si>
  <si>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</si>
  <si>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</si>
  <si>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</si>
  <si>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</si>
  <si>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</si>
  <si>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</si>
  <si>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</si>
  <si>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</si>
  <si>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</si>
  <si>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</si>
  <si>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</si>
  <si>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</si>
  <si>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</si>
  <si>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</si>
  <si>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</si>
  <si>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</si>
  <si>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</si>
  <si>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</si>
  <si>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</si>
  <si>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</si>
  <si>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</si>
  <si>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</si>
  <si>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</si>
  <si>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</si>
  <si>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</si>
  <si>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</si>
  <si>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</si>
  <si>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</si>
  <si>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</si>
  <si>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</si>
  <si>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</si>
  <si>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</si>
  <si>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</si>
  <si>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</si>
  <si>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</si>
  <si>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</si>
  <si>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</si>
  <si>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</si>
  <si>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</si>
  <si>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</si>
  <si>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</si>
  <si>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</si>
  <si>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</si>
  <si>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</si>
  <si>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</si>
  <si>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</si>
  <si>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</si>
  <si>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</si>
  <si>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</si>
  <si>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</si>
  <si>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</si>
  <si>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</si>
  <si>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</si>
  <si>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</si>
  <si>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</si>
  <si>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</si>
  <si>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</si>
  <si>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</si>
  <si>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</si>
  <si>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</si>
  <si>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</si>
  <si>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</si>
  <si>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</si>
  <si>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</si>
  <si>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</si>
  <si>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</si>
  <si>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</si>
  <si>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</si>
  <si>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</si>
  <si>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</si>
  <si>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</si>
  <si>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</si>
  <si>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</si>
  <si>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</si>
  <si>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</si>
  <si>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</si>
  <si>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</si>
  <si>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</si>
  <si>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</si>
  <si>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</si>
  <si>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</si>
  <si>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</si>
  <si>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</si>
  <si>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</si>
  <si>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</si>
  <si>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</si>
  <si>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</si>
  <si>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</si>
  <si>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</si>
  <si>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</si>
  <si>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</si>
  <si>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</si>
  <si>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</si>
  <si>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</si>
  <si>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</si>
  <si>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</si>
  <si>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</si>
  <si>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</si>
  <si>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</si>
  <si>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</si>
  <si>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</si>
  <si>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</si>
  <si>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</si>
  <si>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</si>
  <si>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</si>
  <si>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</si>
  <si>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</si>
  <si>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</si>
  <si>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</si>
  <si>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</si>
  <si>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</si>
  <si>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</si>
  <si>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</si>
  <si>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</si>
  <si>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</si>
  <si>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</si>
  <si>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</si>
  <si>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</si>
  <si>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</si>
  <si>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</si>
  <si>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</si>
  <si>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</si>
  <si>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</si>
  <si>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</si>
  <si>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</si>
  <si>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</si>
  <si>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</si>
  <si>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</si>
  <si>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</si>
  <si>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</si>
  <si>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</si>
  <si>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</si>
  <si>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</si>
  <si>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</si>
  <si>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</si>
  <si>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</si>
  <si>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</si>
  <si>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</si>
  <si>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</si>
  <si>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</si>
  <si>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</si>
  <si>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</si>
  <si>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</si>
  <si>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</si>
  <si>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</si>
  <si>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</si>
  <si>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</si>
  <si>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</si>
  <si>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</si>
  <si>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</si>
  <si>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</si>
  <si>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</si>
  <si>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</si>
  <si>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</si>
  <si>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</si>
  <si>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</si>
  <si>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</si>
  <si>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</si>
  <si>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</si>
  <si>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</si>
  <si>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</si>
  <si>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</si>
  <si>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</si>
  <si>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</si>
  <si>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</si>
  <si>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</si>
  <si>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</si>
  <si>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</si>
  <si>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</si>
  <si>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</si>
  <si>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</si>
  <si>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</si>
  <si>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</si>
  <si>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</si>
  <si>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</si>
  <si>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</si>
  <si>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</si>
  <si>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</si>
  <si>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</si>
  <si>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</si>
  <si>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</si>
  <si>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</si>
  <si>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</si>
  <si>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</si>
  <si>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</si>
  <si>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</si>
  <si>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</si>
  <si>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</si>
  <si>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</si>
  <si>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</si>
  <si>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</si>
  <si>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</si>
  <si>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</si>
  <si>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</si>
  <si>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</si>
  <si>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</si>
  <si>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</si>
  <si>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</si>
  <si>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</si>
  <si>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</si>
  <si>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</si>
  <si>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</si>
  <si>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</si>
  <si>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</si>
  <si>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</si>
  <si>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</si>
  <si>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</si>
  <si>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</si>
  <si>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</si>
  <si>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</si>
  <si>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</si>
  <si>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</si>
  <si>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</si>
  <si>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</si>
  <si>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</si>
  <si>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</si>
  <si>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</si>
  <si>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</si>
  <si>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</si>
  <si>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</si>
  <si>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</si>
  <si>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</si>
  <si>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</si>
  <si>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</si>
  <si>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</si>
  <si>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</si>
  <si>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</si>
  <si>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</si>
  <si>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</si>
  <si>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</si>
  <si>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</si>
  <si>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</si>
  <si>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</si>
  <si>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</si>
  <si>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</si>
  <si>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</si>
  <si>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</si>
  <si>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</si>
  <si>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</si>
  <si>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</si>
  <si>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</si>
  <si>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</si>
  <si>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</si>
  <si>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</si>
  <si>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</si>
  <si>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</si>
  <si>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</si>
  <si>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</si>
  <si>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</si>
  <si>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</si>
  <si>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</si>
  <si>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</si>
  <si>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</si>
  <si>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</si>
  <si>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</si>
  <si>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</si>
  <si>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</si>
  <si>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</si>
  <si>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</si>
  <si>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</si>
  <si>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</si>
  <si>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</si>
  <si>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</si>
  <si>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</si>
  <si>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</si>
  <si>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</si>
  <si>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</si>
  <si>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</si>
  <si>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</si>
  <si>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</si>
  <si>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</si>
  <si>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</si>
  <si>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</si>
  <si>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</si>
  <si>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</si>
  <si>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</si>
  <si>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</si>
  <si>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</si>
  <si>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</si>
  <si>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</si>
  <si>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</si>
  <si>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</si>
  <si>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</si>
  <si>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</si>
  <si>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</si>
  <si>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</si>
  <si>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</si>
  <si>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</si>
  <si>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</si>
  <si>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</si>
  <si>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</si>
  <si>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</si>
  <si>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</si>
  <si>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</si>
  <si>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</si>
  <si>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</si>
  <si>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</si>
  <si>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</si>
  <si>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</si>
  <si>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</si>
  <si>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</si>
  <si>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</si>
  <si>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</si>
  <si>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</si>
  <si>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</si>
  <si>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</si>
  <si>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</si>
  <si>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</si>
  <si>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</si>
  <si>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</si>
  <si>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</si>
  <si>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</si>
  <si>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</si>
  <si>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</si>
  <si>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</si>
  <si>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</si>
  <si>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</si>
  <si>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</si>
  <si>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</si>
  <si>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</si>
  <si>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</si>
  <si>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</si>
  <si>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</si>
  <si>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</si>
  <si>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</si>
  <si>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</si>
  <si>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</si>
  <si>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</si>
  <si>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</si>
  <si>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</si>
  <si>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</si>
  <si>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</si>
  <si>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</si>
  <si>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</si>
  <si>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</si>
  <si>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</si>
  <si>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</si>
  <si>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</si>
  <si>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</si>
  <si>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</si>
  <si>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</si>
  <si>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</si>
  <si>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</si>
  <si>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</si>
  <si>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</si>
  <si>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</si>
  <si>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</si>
  <si>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</si>
  <si>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</si>
  <si>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</si>
  <si>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</si>
  <si>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</si>
  <si>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</si>
  <si>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</si>
  <si>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</si>
  <si>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</si>
  <si>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</si>
  <si>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</si>
  <si>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</si>
  <si>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</si>
  <si>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</si>
  <si>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</si>
  <si>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</si>
  <si>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</si>
  <si>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</si>
  <si>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</si>
  <si>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</si>
  <si>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</si>
  <si>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</si>
  <si>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</si>
  <si>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</si>
  <si>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</si>
  <si>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</si>
  <si>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</si>
  <si>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</si>
  <si>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</si>
  <si>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</si>
  <si>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</si>
  <si>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</si>
  <si>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</si>
  <si>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</si>
  <si>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</si>
  <si>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</si>
  <si>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</si>
  <si>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</si>
  <si>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</si>
  <si>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</si>
  <si>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</si>
  <si>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</si>
  <si>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</si>
  <si>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</si>
  <si>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</si>
  <si>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</si>
  <si>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</si>
  <si>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</si>
  <si>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</si>
  <si>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</si>
  <si>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</si>
  <si>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</si>
  <si>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</si>
  <si>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</si>
  <si>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</si>
  <si>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</si>
  <si>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</si>
  <si>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</si>
  <si>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</si>
  <si>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</si>
  <si>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</si>
  <si>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</si>
  <si>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</si>
  <si>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</si>
  <si>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</si>
  <si>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</si>
  <si>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</si>
  <si>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</si>
  <si>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</si>
  <si>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</si>
  <si>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</si>
  <si>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</si>
  <si>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</si>
  <si>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</si>
  <si>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</si>
  <si>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</si>
  <si>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</si>
  <si>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</si>
  <si>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</si>
  <si>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</si>
  <si>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</si>
  <si>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</si>
  <si>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</si>
  <si>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</si>
  <si>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</si>
  <si>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</si>
  <si>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</si>
  <si>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</si>
  <si>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</si>
  <si>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</si>
  <si>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</si>
  <si>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</si>
  <si>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</si>
  <si>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</si>
  <si>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</si>
  <si>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</si>
  <si>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</si>
  <si>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</si>
  <si>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</si>
  <si>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</si>
  <si>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</si>
  <si>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</si>
  <si>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</si>
  <si>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</si>
  <si>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</si>
  <si>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</si>
  <si>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</si>
  <si>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</si>
  <si>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</si>
  <si>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</si>
  <si>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</si>
  <si>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</si>
  <si>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</si>
  <si>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</si>
  <si>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</si>
  <si>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</si>
  <si>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</si>
  <si>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</si>
  <si>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</si>
  <si>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</si>
  <si>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</si>
  <si>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</si>
  <si>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</si>
  <si>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</si>
  <si>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</si>
  <si>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</si>
  <si>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</si>
  <si>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</si>
  <si>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</si>
  <si>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</si>
  <si>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</si>
  <si>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</si>
  <si>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</si>
  <si>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</si>
  <si>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</si>
  <si>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</si>
  <si>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</si>
  <si>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</si>
  <si>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</si>
  <si>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</si>
  <si>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</si>
  <si>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</si>
  <si>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</si>
  <si>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</si>
  <si>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</si>
  <si>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</si>
  <si>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</si>
  <si>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</si>
  <si>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</si>
  <si>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</si>
  <si>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</si>
  <si>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</si>
  <si>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</si>
  <si>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</si>
  <si>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</si>
  <si>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</si>
  <si>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</si>
  <si>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</si>
  <si>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</si>
  <si>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</si>
  <si>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</si>
  <si>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</si>
  <si>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</si>
  <si>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</si>
  <si>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</si>
  <si>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</si>
  <si>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</si>
  <si>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</si>
  <si>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</si>
  <si>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</si>
  <si>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</si>
  <si>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</si>
  <si>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</si>
  <si>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</si>
  <si>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</si>
  <si>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</si>
  <si>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</si>
  <si>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</si>
  <si>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</si>
  <si>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</si>
  <si>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</si>
  <si>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</si>
  <si>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</si>
  <si>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</si>
  <si>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</si>
  <si>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</si>
  <si>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</si>
  <si>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</si>
  <si>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</si>
  <si>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</si>
  <si>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</si>
  <si>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</si>
  <si>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</si>
  <si>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</si>
  <si>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</si>
  <si>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</si>
  <si>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</si>
  <si>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</si>
  <si>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</si>
  <si>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</si>
  <si>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</si>
  <si>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</si>
  <si>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</si>
  <si>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</si>
  <si>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</si>
  <si>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</si>
  <si>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</si>
  <si>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</si>
  <si>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</si>
  <si>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</si>
  <si>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</si>
  <si>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</si>
  <si>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</si>
  <si>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</si>
  <si>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</si>
  <si>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</si>
  <si>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</si>
  <si>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</si>
  <si>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</si>
  <si>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</si>
  <si>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</si>
  <si>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</si>
  <si>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</si>
  <si>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</si>
  <si>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</si>
  <si>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</si>
  <si>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</si>
  <si>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</si>
  <si>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</si>
  <si>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</si>
  <si>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</si>
  <si>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</si>
  <si>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</si>
  <si>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</si>
  <si>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</si>
  <si>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</si>
  <si>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</si>
  <si>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</si>
  <si>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</si>
  <si>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</si>
  <si>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</si>
  <si>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</si>
  <si>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</si>
  <si>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</si>
  <si>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</si>
  <si>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</si>
  <si>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</si>
  <si>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</si>
  <si>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</si>
  <si>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</si>
  <si>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</si>
  <si>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</si>
  <si>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</si>
  <si>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</si>
  <si>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</si>
  <si>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</si>
  <si>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</si>
  <si>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</si>
  <si>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</si>
  <si>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</si>
  <si>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</si>
  <si>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</si>
  <si>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</si>
  <si>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</si>
  <si>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</si>
  <si>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</si>
  <si>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</si>
  <si>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</si>
  <si>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</si>
  <si>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</si>
  <si>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</si>
  <si>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</si>
  <si>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</si>
  <si>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</si>
  <si>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</si>
  <si>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</si>
  <si>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</si>
  <si>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</si>
  <si>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</si>
  <si>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</si>
  <si>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</si>
  <si>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</si>
  <si>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</si>
  <si>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</si>
  <si>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</si>
  <si>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</si>
  <si>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</si>
  <si>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</si>
  <si>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</si>
  <si>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</si>
  <si>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</si>
  <si>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</si>
  <si>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</si>
  <si>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</si>
  <si>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</si>
  <si>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</si>
  <si>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</si>
  <si>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</si>
  <si>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</si>
  <si>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</si>
  <si>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</si>
  <si>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</si>
  <si>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</si>
  <si>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</si>
  <si>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</si>
  <si>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</si>
  <si>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</si>
  <si>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</si>
  <si>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</si>
  <si>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</si>
  <si>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</si>
  <si>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</si>
  <si>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</si>
  <si>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</si>
  <si>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</si>
  <si>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</si>
  <si>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</si>
  <si>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</si>
  <si>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</si>
  <si>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</si>
  <si>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</si>
  <si>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</si>
  <si>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</si>
  <si>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</si>
  <si>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</si>
  <si>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</si>
  <si>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</si>
  <si>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</si>
  <si>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</si>
  <si>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</si>
  <si>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</si>
  <si>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</si>
  <si>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</si>
  <si>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</si>
  <si>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</si>
  <si>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</si>
  <si>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</si>
  <si>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</si>
  <si>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</si>
  <si>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</si>
  <si>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</si>
  <si>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</si>
  <si>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</si>
  <si>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</si>
  <si>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</si>
  <si>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</si>
  <si>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</si>
  <si>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</si>
  <si>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</si>
  <si>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</si>
  <si>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</si>
  <si>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</si>
  <si>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</si>
  <si>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</si>
  <si>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</si>
  <si>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</si>
  <si>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</si>
  <si>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</si>
  <si>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</si>
  <si>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</si>
  <si>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</si>
  <si>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</si>
  <si>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</si>
  <si>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</si>
  <si>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</si>
  <si>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</si>
  <si>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</si>
  <si>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</si>
  <si>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</si>
  <si>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</si>
  <si>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</si>
  <si>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</si>
  <si>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</si>
  <si>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</si>
  <si>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</si>
  <si>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</si>
  <si>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</si>
  <si>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</si>
  <si>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</si>
  <si>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</si>
  <si>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</si>
  <si>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</si>
  <si>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</si>
  <si>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</si>
  <si>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</si>
  <si>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</si>
  <si>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</si>
  <si>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</si>
  <si>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</si>
  <si>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</si>
  <si>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</si>
  <si>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</si>
  <si>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</si>
  <si>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</si>
  <si>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</si>
  <si>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</si>
  <si>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</si>
  <si>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</si>
  <si>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</si>
  <si>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</si>
  <si>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</si>
  <si>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</si>
  <si>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</si>
  <si>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</si>
  <si>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</si>
  <si>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</si>
  <si>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</si>
  <si>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</si>
  <si>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</si>
  <si>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</si>
  <si>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</si>
  <si>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</si>
  <si>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</si>
  <si>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</si>
  <si>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</si>
  <si>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</si>
  <si>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</si>
  <si>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</si>
  <si>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</si>
  <si>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</si>
  <si>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</si>
  <si>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</si>
  <si>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</si>
  <si>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</si>
  <si>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</si>
  <si>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</si>
  <si>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</si>
  <si>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</si>
  <si>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</si>
  <si>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</si>
  <si>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</si>
  <si>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</si>
  <si>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</si>
  <si>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</si>
  <si>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</si>
  <si>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</si>
  <si>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</si>
  <si>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</si>
  <si>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</si>
  <si>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</si>
  <si>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</si>
  <si>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</si>
  <si>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</si>
  <si>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</si>
  <si>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</si>
  <si>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</si>
  <si>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</si>
  <si>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</si>
  <si>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</si>
  <si>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</si>
  <si>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</si>
  <si>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</si>
  <si>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</si>
  <si>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</si>
  <si>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</si>
  <si>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</si>
  <si>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</si>
  <si>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</si>
  <si>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</si>
  <si>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</si>
  <si>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</si>
  <si>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</si>
  <si>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</si>
  <si>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</si>
  <si>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</si>
  <si>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</si>
  <si>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</si>
  <si>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</si>
  <si>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</si>
  <si>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</si>
  <si>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</si>
  <si>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</si>
  <si>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</si>
  <si>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</si>
  <si>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</si>
  <si>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</si>
  <si>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</si>
  <si>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</si>
  <si>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</si>
  <si>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</si>
  <si>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</si>
  <si>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</si>
  <si>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</si>
  <si>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</si>
  <si>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</si>
  <si>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</si>
  <si>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</si>
  <si>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</si>
  <si>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</si>
  <si>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</si>
  <si>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</si>
  <si>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</si>
  <si>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</si>
  <si>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</si>
  <si>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</si>
  <si>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</si>
  <si>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</si>
  <si>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</si>
  <si>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</si>
  <si>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</si>
  <si>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</si>
  <si>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</si>
  <si>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</si>
  <si>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</si>
  <si>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</si>
  <si>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</si>
  <si>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</si>
  <si>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</si>
  <si>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</si>
  <si>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</si>
  <si>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</si>
  <si>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</si>
  <si>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</si>
  <si>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</si>
  <si>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</si>
  <si>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</si>
  <si>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</si>
  <si>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</si>
  <si>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</si>
  <si>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</si>
  <si>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</si>
  <si>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</si>
  <si>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</si>
  <si>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</si>
  <si>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</si>
  <si>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</si>
  <si>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</si>
  <si>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</si>
  <si>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</si>
  <si>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</si>
  <si>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</si>
  <si>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</si>
  <si>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</si>
  <si>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</si>
  <si>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</si>
  <si>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</si>
  <si>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</si>
  <si>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</si>
  <si>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</si>
  <si>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</si>
  <si>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</si>
  <si>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</si>
  <si>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</si>
  <si>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</si>
  <si>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</si>
  <si>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</si>
  <si>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</si>
  <si>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</si>
  <si>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</si>
  <si>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</si>
  <si>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</si>
  <si>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</si>
  <si>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</si>
  <si>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</si>
  <si>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</si>
  <si>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</si>
  <si>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</si>
  <si>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</si>
  <si>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</si>
  <si>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</si>
  <si>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</si>
  <si>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</si>
  <si>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</si>
  <si>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</si>
  <si>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</si>
  <si>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</si>
  <si>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</si>
  <si>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</si>
  <si>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</si>
  <si>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</si>
  <si>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</si>
  <si>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</si>
  <si>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</si>
  <si>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</si>
  <si>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</si>
  <si>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</si>
  <si>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</si>
  <si>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</si>
  <si>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</si>
  <si>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</si>
  <si>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</si>
  <si>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</si>
  <si>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</si>
  <si>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</si>
  <si>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</si>
  <si>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</si>
  <si>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</si>
  <si>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</si>
  <si>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</si>
  <si>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</si>
  <si>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</si>
  <si>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</si>
  <si>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</si>
  <si>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</si>
  <si>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</si>
  <si>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</si>
  <si>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</si>
  <si>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</si>
  <si>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</si>
  <si>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</si>
  <si>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</si>
  <si>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</si>
  <si>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</si>
  <si>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</si>
  <si>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</si>
  <si>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</si>
  <si>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</si>
  <si>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</si>
  <si>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</si>
  <si>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</si>
  <si>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</si>
  <si>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</si>
  <si>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</si>
  <si>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</si>
  <si>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</si>
  <si>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</si>
  <si>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</si>
  <si>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</si>
  <si>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</si>
  <si>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</si>
  <si>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</si>
  <si>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</si>
  <si>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</si>
  <si>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</si>
  <si>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</si>
  <si>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</si>
  <si>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</si>
  <si>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</si>
  <si>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</si>
  <si>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</si>
  <si>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</si>
  <si>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</si>
  <si>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</si>
  <si>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</si>
  <si>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</si>
  <si>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</si>
  <si>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</si>
  <si>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</si>
  <si>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</si>
  <si>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</si>
  <si>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</si>
  <si>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</si>
  <si>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</si>
  <si>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</si>
  <si>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</si>
  <si>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</si>
  <si>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</si>
  <si>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</si>
  <si>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</si>
  <si>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</si>
  <si>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</si>
  <si>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</si>
  <si>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</si>
  <si>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</si>
  <si>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</si>
  <si>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</si>
  <si>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</si>
  <si>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</si>
  <si>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</si>
  <si>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</si>
  <si>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</si>
  <si>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</si>
  <si>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</si>
  <si>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</si>
  <si>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</si>
  <si>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</si>
  <si>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</si>
  <si>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</si>
  <si>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</si>
  <si>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</si>
  <si>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</si>
  <si>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</si>
  <si>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</si>
  <si>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</si>
  <si>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</si>
  <si>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</si>
  <si>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</si>
  <si>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</si>
  <si>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</si>
  <si>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</si>
  <si>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</si>
  <si>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</si>
  <si>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</si>
  <si>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</si>
  <si>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</si>
  <si>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</si>
  <si>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</si>
  <si>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</si>
  <si>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</si>
  <si>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</si>
  <si>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</si>
  <si>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</si>
  <si>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</si>
  <si>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</si>
  <si>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</si>
  <si>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</si>
  <si>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</si>
  <si>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</si>
  <si>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</si>
  <si>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</si>
  <si>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</si>
  <si>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</si>
  <si>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</si>
  <si>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</si>
  <si>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</si>
  <si>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</si>
  <si>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</si>
  <si>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</si>
  <si>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</si>
  <si>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</si>
  <si>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</si>
  <si>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</si>
  <si>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</si>
  <si>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</si>
  <si>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</si>
  <si>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</si>
  <si>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</si>
  <si>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</si>
  <si>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</si>
  <si>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</si>
  <si>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</si>
  <si>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</si>
  <si>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</si>
  <si>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</si>
  <si>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</si>
  <si>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</si>
  <si>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</si>
  <si>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</si>
  <si>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</si>
  <si>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</si>
  <si>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</si>
  <si>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</si>
  <si>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</si>
  <si>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</si>
  <si>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</si>
  <si>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</si>
  <si>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</si>
  <si>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</si>
  <si>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</si>
  <si>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</si>
  <si>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</si>
  <si>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</si>
  <si>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</si>
  <si>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</si>
  <si>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</si>
  <si>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</si>
  <si>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</si>
  <si>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</si>
  <si>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</si>
  <si>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</si>
  <si>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</si>
  <si>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</si>
  <si>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</si>
  <si>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</si>
  <si>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</si>
  <si>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</si>
  <si>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</si>
  <si>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</si>
  <si>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</si>
  <si>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</si>
  <si>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</si>
  <si>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</si>
  <si>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</si>
  <si>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</si>
  <si>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</si>
  <si>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</si>
  <si>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</si>
  <si>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</si>
  <si>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</si>
  <si>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</si>
  <si>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</si>
  <si>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</si>
  <si>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</si>
  <si>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</si>
  <si>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</si>
  <si>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</si>
  <si>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</si>
  <si>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</si>
  <si>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</si>
  <si>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</si>
  <si>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</si>
  <si>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</si>
  <si>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</si>
  <si>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</si>
  <si>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</si>
  <si>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</si>
  <si>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</si>
  <si>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</si>
  <si>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</si>
  <si>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</si>
  <si>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</si>
  <si>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</si>
  <si>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</si>
  <si>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</si>
  <si>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</si>
  <si>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</si>
  <si>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</si>
  <si>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</si>
  <si>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</si>
  <si>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</si>
  <si>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</si>
  <si>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</si>
  <si>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</si>
  <si>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</si>
  <si>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</si>
  <si>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</si>
  <si>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</si>
  <si>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</si>
  <si>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</si>
  <si>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</si>
  <si>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</si>
  <si>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</si>
  <si>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</si>
  <si>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</si>
  <si>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</si>
  <si>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</si>
  <si>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</si>
  <si>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</si>
  <si>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</si>
  <si>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</si>
  <si>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</si>
  <si>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</si>
  <si>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</si>
  <si>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</si>
  <si>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</si>
  <si>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</si>
  <si>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</si>
  <si>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</si>
  <si>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</si>
  <si>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</si>
  <si>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</si>
  <si>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</si>
  <si>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</si>
  <si>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</si>
  <si>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</si>
  <si>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</si>
  <si>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</si>
  <si>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</si>
  <si>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</si>
  <si>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</si>
  <si>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</si>
  <si>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</si>
  <si>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</si>
  <si>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</si>
  <si>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</si>
  <si>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</si>
  <si>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</si>
  <si>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</si>
  <si>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</si>
  <si>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</si>
  <si>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</si>
  <si>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</si>
  <si>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</si>
  <si>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</si>
  <si>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</si>
  <si>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</si>
  <si>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</si>
  <si>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</si>
  <si>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</si>
  <si>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</si>
  <si>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</si>
  <si>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</si>
  <si>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</si>
  <si>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</si>
  <si>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</si>
  <si>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</si>
  <si>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</si>
  <si>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</si>
  <si>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</si>
  <si>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</si>
  <si>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</si>
  <si>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</si>
  <si>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</si>
  <si>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</si>
  <si>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</si>
  <si>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</si>
  <si>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</si>
  <si>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</si>
  <si>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</si>
  <si>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</si>
  <si>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</si>
  <si>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</si>
  <si>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</si>
  <si>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</si>
  <si>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</si>
  <si>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</si>
  <si>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</si>
  <si>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</si>
  <si>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</si>
  <si>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</si>
  <si>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</si>
  <si>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</si>
  <si>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</si>
  <si>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</si>
  <si>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</si>
  <si>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</si>
  <si>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</si>
  <si>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</si>
  <si>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</si>
  <si>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</si>
  <si>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</si>
  <si>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</si>
  <si>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</si>
  <si>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</si>
  <si>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</si>
  <si>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</si>
  <si>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</si>
  <si>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</si>
  <si>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</si>
  <si>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</si>
  <si>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</si>
  <si>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</si>
  <si>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</si>
  <si>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</si>
  <si>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</si>
  <si>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</si>
  <si>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</si>
  <si>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</si>
  <si>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</si>
  <si>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</si>
  <si>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</si>
  <si>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</si>
  <si>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</si>
  <si>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</si>
  <si>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</si>
  <si>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</si>
  <si>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</si>
  <si>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</si>
  <si>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</si>
  <si>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</si>
  <si>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</si>
  <si>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</si>
  <si>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</si>
  <si>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</si>
  <si>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</si>
  <si>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</si>
  <si>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</si>
  <si>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</si>
  <si>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</si>
  <si>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</si>
  <si>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</si>
  <si>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</si>
  <si>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</si>
  <si>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</si>
  <si>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</si>
  <si>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</si>
  <si>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</si>
  <si>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</si>
  <si>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</si>
  <si>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</si>
  <si>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</si>
  <si>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</si>
  <si>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</si>
  <si>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</si>
  <si>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</si>
  <si>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</si>
  <si>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</si>
  <si>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</si>
  <si>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</si>
  <si>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</si>
  <si>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</si>
  <si>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</si>
  <si>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</si>
  <si>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</si>
  <si>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</si>
  <si>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</si>
  <si>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</si>
  <si>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</si>
  <si>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</si>
  <si>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</si>
  <si>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</si>
  <si>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</si>
  <si>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</si>
  <si>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</si>
  <si>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</si>
  <si>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</si>
  <si>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</si>
  <si>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</si>
  <si>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</si>
  <si>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</si>
  <si>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</si>
  <si>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</si>
  <si>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</si>
  <si>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</si>
  <si>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</si>
  <si>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</si>
  <si>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</si>
  <si>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</si>
  <si>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</si>
  <si>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</si>
  <si>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</si>
  <si>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</si>
  <si>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</si>
  <si>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</si>
  <si>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</si>
  <si>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</si>
  <si>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</si>
  <si>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</si>
  <si>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</si>
  <si>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</si>
  <si>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</si>
  <si>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</si>
  <si>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</si>
  <si>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</si>
  <si>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</si>
  <si>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</si>
  <si>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</si>
  <si>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</si>
  <si>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</si>
  <si>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</si>
  <si>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</si>
  <si>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</si>
  <si>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</si>
  <si>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</si>
  <si>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</si>
  <si>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</si>
  <si>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</si>
  <si>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</si>
  <si>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</si>
  <si>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</si>
  <si>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</si>
  <si>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</si>
  <si>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</si>
  <si>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</si>
  <si>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</si>
  <si>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</si>
  <si>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</si>
  <si>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</si>
  <si>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</si>
  <si>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</si>
  <si>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</si>
  <si>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</si>
  <si>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</si>
  <si>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</si>
  <si>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</si>
  <si>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</si>
  <si>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</si>
  <si>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</si>
  <si>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</si>
  <si>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</si>
  <si>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</si>
  <si>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</si>
  <si>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</si>
  <si>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</si>
  <si>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</si>
  <si>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</si>
  <si>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</si>
  <si>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</si>
  <si>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</si>
  <si>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</si>
  <si>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</si>
  <si>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</si>
  <si>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</si>
  <si>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</si>
  <si>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</si>
  <si>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</si>
  <si>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</si>
  <si>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</si>
  <si>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</si>
  <si>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</si>
  <si>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</si>
  <si>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</si>
  <si>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</si>
  <si>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</si>
  <si>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</si>
  <si>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</si>
  <si>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</si>
  <si>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</si>
  <si>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</si>
  <si>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</si>
  <si>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</si>
  <si>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</si>
  <si>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</si>
  <si>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</si>
  <si>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</si>
  <si>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</si>
  <si>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</si>
  <si>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</si>
  <si>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</si>
  <si>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</si>
  <si>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</si>
  <si>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</si>
  <si>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</si>
  <si>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</si>
  <si>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</si>
  <si>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</si>
  <si>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</si>
  <si>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</si>
  <si>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</si>
  <si>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</si>
  <si>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</si>
  <si>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</si>
  <si>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</si>
  <si>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</si>
  <si>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</si>
  <si>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</si>
  <si>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</si>
  <si>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</si>
  <si>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</si>
  <si>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</si>
  <si>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</si>
  <si>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</si>
  <si>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</si>
  <si>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</si>
  <si>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</si>
  <si>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</si>
  <si>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</si>
  <si>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</si>
  <si>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</si>
  <si>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</si>
  <si>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</si>
  <si>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</si>
  <si>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</si>
  <si>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</si>
  <si>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</si>
  <si>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</si>
  <si>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</si>
  <si>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</si>
  <si>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</si>
  <si>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</si>
  <si>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</si>
  <si>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</si>
  <si>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</si>
  <si>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</si>
  <si>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</si>
  <si>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</si>
  <si>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</si>
  <si>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</si>
  <si>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</si>
  <si>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</si>
  <si>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</si>
  <si>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</si>
  <si>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</si>
  <si>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</si>
  <si>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</si>
  <si>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</si>
  <si>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</si>
  <si>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</si>
  <si>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</si>
  <si>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</si>
  <si>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</si>
  <si>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</si>
  <si>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</si>
  <si>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</si>
  <si>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</si>
  <si>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</si>
  <si>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</si>
  <si>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</si>
  <si>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</si>
  <si>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</si>
  <si>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</si>
  <si>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</si>
  <si>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</si>
  <si>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</si>
  <si>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</si>
  <si>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</si>
  <si>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</si>
  <si>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</si>
  <si>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</si>
  <si>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</si>
  <si>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</si>
  <si>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</si>
  <si>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</si>
  <si>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</si>
  <si>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</si>
  <si>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</si>
  <si>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</si>
  <si>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</si>
  <si>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</si>
  <si>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</si>
  <si>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</si>
  <si>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</si>
  <si>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</si>
  <si>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</si>
  <si>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</si>
  <si>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</si>
  <si>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</si>
  <si>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</si>
  <si>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</si>
  <si>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</si>
  <si>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</si>
  <si>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</si>
  <si>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</si>
  <si>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</si>
  <si>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</si>
  <si>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</si>
  <si>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</si>
  <si>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</si>
  <si>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</si>
  <si>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</si>
  <si>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</si>
  <si>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</si>
  <si>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</si>
  <si>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</si>
  <si>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</si>
  <si>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</si>
  <si>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</si>
  <si>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</si>
  <si>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</si>
  <si>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</si>
  <si>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</si>
  <si>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</si>
  <si>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</si>
  <si>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</si>
  <si>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</si>
  <si>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</si>
  <si>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</si>
  <si>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</si>
  <si>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</si>
  <si>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</si>
  <si>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</si>
  <si>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</si>
  <si>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</si>
  <si>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</si>
  <si>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</si>
  <si>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</si>
  <si>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</si>
  <si>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</si>
  <si>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</si>
  <si>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</si>
  <si>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</si>
  <si>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</si>
  <si>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</si>
  <si>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</si>
  <si>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</si>
  <si>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</si>
  <si>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</si>
  <si>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</si>
  <si>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</si>
  <si>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</si>
  <si>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</si>
  <si>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</si>
  <si>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</si>
  <si>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</si>
  <si>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</si>
  <si>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</si>
  <si>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</si>
  <si>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</si>
  <si>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</si>
  <si>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</si>
  <si>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</si>
  <si>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</si>
  <si>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</si>
  <si>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</si>
  <si>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</si>
  <si>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</si>
  <si>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</si>
  <si>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</si>
  <si>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</si>
  <si>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</si>
  <si>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</si>
  <si>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</si>
  <si>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</si>
  <si>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</si>
  <si>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</si>
  <si>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</si>
  <si>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</si>
  <si>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</si>
  <si>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</si>
  <si>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</si>
  <si>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</si>
  <si>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</si>
  <si>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</si>
  <si>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</si>
  <si>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</si>
  <si>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</si>
  <si>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</si>
  <si>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</si>
  <si>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</si>
  <si>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</si>
  <si>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</si>
  <si>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</si>
  <si>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</si>
  <si>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</si>
  <si>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</si>
  <si>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</si>
  <si>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</si>
  <si>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</si>
  <si>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</si>
  <si>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</si>
  <si>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</si>
  <si>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</si>
  <si>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</si>
  <si>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</si>
  <si>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</si>
  <si>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</si>
  <si>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</si>
  <si>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</si>
  <si>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</si>
  <si>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</si>
  <si>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</si>
  <si>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</si>
  <si>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</si>
  <si>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</si>
  <si>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</si>
  <si>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</si>
  <si>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</si>
  <si>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</si>
  <si>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</si>
  <si>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</si>
  <si>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</si>
  <si>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</si>
  <si>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</si>
  <si>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</si>
  <si>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</si>
  <si>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</si>
  <si>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</si>
  <si>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</si>
  <si>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</si>
  <si>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</si>
  <si>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</si>
  <si>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</si>
  <si>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</si>
  <si>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</si>
  <si>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</si>
  <si>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</si>
  <si>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</si>
  <si>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</si>
  <si>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</si>
  <si>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</si>
  <si>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</si>
  <si>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</si>
  <si>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</si>
  <si>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</si>
  <si>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</si>
  <si>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</si>
  <si>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</si>
  <si>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</si>
  <si>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</si>
  <si>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</si>
  <si>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</si>
  <si>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</si>
  <si>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</si>
  <si>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</si>
  <si>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</si>
  <si>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</si>
  <si>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</si>
  <si>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</si>
  <si>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</si>
  <si>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</si>
  <si>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</si>
  <si>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</si>
  <si>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</si>
  <si>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</si>
  <si>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</si>
  <si>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</si>
  <si>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</si>
  <si>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</si>
  <si>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</si>
  <si>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</si>
  <si>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</si>
  <si>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</si>
  <si>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</si>
  <si>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</si>
  <si>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</si>
  <si>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</si>
  <si>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</si>
  <si>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</si>
  <si>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</si>
  <si>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</si>
  <si>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</si>
  <si>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</si>
  <si>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</si>
  <si>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</si>
  <si>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</si>
  <si>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</si>
  <si>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</si>
  <si>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</si>
  <si>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</si>
  <si>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</si>
  <si>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</si>
  <si>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</si>
  <si>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</si>
  <si>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</si>
  <si>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</si>
  <si>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</si>
  <si>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</si>
  <si>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</si>
  <si>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</si>
  <si>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</si>
  <si>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</si>
  <si>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</si>
  <si>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</si>
  <si>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</si>
  <si>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</si>
  <si>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</si>
  <si>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</si>
  <si>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</si>
  <si>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</si>
  <si>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</si>
  <si>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</si>
  <si>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</si>
  <si>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</si>
  <si>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</si>
  <si>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</si>
  <si>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</si>
  <si>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</si>
  <si>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</si>
  <si>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</si>
  <si>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</si>
  <si>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</si>
  <si>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</si>
  <si>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</si>
  <si>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</si>
  <si>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</si>
  <si>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</si>
  <si>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</si>
  <si>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</si>
  <si>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</si>
  <si>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</si>
  <si>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</si>
  <si>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</si>
  <si>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</si>
  <si>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</si>
  <si>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</si>
  <si>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</si>
  <si>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</si>
  <si>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</si>
  <si>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</si>
  <si>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</si>
  <si>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</si>
  <si>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</si>
  <si>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</si>
  <si>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</si>
  <si>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</si>
  <si>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</si>
  <si>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</si>
  <si>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</si>
  <si>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</si>
  <si>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</si>
  <si>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</si>
  <si>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</si>
  <si>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</si>
  <si>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</si>
  <si>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</si>
  <si>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</si>
  <si>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</si>
  <si>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</si>
  <si>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</si>
  <si>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</si>
  <si>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</si>
  <si>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</si>
  <si>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</si>
  <si>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</si>
  <si>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</si>
  <si>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</si>
  <si>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</si>
  <si>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</si>
  <si>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</si>
  <si>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</si>
  <si>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</si>
  <si>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</si>
  <si>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</si>
  <si>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</si>
  <si>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</si>
  <si>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</si>
  <si>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</si>
  <si>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</si>
  <si>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</si>
  <si>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</si>
  <si>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</si>
  <si>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</si>
  <si>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</si>
  <si>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</si>
  <si>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</si>
  <si>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</si>
  <si>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</si>
  <si>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</si>
  <si>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</si>
  <si>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</si>
  <si>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</si>
  <si>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</si>
  <si>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</si>
  <si>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</si>
  <si>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</si>
  <si>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</si>
  <si>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</si>
  <si>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</si>
  <si>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</si>
  <si>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</si>
  <si>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</si>
  <si>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</si>
  <si>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</si>
  <si>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</si>
  <si>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</si>
  <si>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</si>
  <si>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</si>
  <si>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</si>
  <si>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</si>
  <si>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</si>
  <si>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</si>
  <si>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</si>
  <si>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</si>
  <si>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</si>
  <si>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</si>
  <si>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</si>
  <si>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</si>
  <si>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</si>
  <si>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</si>
  <si>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</si>
  <si>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</si>
  <si>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</si>
  <si>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</si>
  <si>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</si>
  <si>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</si>
  <si>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</si>
  <si>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</si>
  <si>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</si>
  <si>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</si>
  <si>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</si>
  <si>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</si>
  <si>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</si>
  <si>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</si>
  <si>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</si>
  <si>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</si>
  <si>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</si>
  <si>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</si>
  <si>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</si>
  <si>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</si>
  <si>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</si>
  <si>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</si>
  <si>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</si>
  <si>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</si>
  <si>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</si>
  <si>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</si>
  <si>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</si>
  <si>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</si>
  <si>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</si>
  <si>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</si>
  <si>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</si>
  <si>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</si>
  <si>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</si>
  <si>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</si>
  <si>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</si>
  <si>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</si>
  <si>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</si>
  <si>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</si>
  <si>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</si>
  <si>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</si>
  <si>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</si>
  <si>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</si>
  <si>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</si>
  <si>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</si>
  <si>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</si>
  <si>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</si>
  <si>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</si>
  <si>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</si>
  <si>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</si>
  <si>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</si>
  <si>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</si>
  <si>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</si>
  <si>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</si>
  <si>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</si>
  <si>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</si>
  <si>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</si>
  <si>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</si>
  <si>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</si>
  <si>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</si>
  <si>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</si>
  <si>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</si>
  <si>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</si>
  <si>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</si>
  <si>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</si>
  <si>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</si>
  <si>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</si>
  <si>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</si>
  <si>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</si>
  <si>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</si>
  <si>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</si>
  <si>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</si>
  <si>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</si>
  <si>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</si>
  <si>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</si>
  <si>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</si>
  <si>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</si>
  <si>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</si>
  <si>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</si>
  <si>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</si>
  <si>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</si>
  <si>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</si>
  <si>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</si>
  <si>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</si>
  <si>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</si>
  <si>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</si>
  <si>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</si>
  <si>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</si>
  <si>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</si>
  <si>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</si>
  <si>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</si>
  <si>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</si>
  <si>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</si>
  <si>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</si>
  <si>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</si>
  <si>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</si>
  <si>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</si>
  <si>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</si>
  <si>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</si>
  <si>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</si>
  <si>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</si>
  <si>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</si>
  <si>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</si>
  <si>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</si>
  <si>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UDRUGA LET</t>
  </si>
  <si>
    <t>ZAGREB</t>
  </si>
  <si>
    <t>01692569</t>
  </si>
  <si>
    <t>RATARSKA 7</t>
  </si>
  <si>
    <t>IVA JOVOVIĆ</t>
  </si>
  <si>
    <t>MIRA DRAGOSAVAC M.</t>
  </si>
  <si>
    <t>01/3632349</t>
  </si>
  <si>
    <t>let@udruga-let.hr</t>
  </si>
  <si>
    <t>12.02.2024.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</si>
</sst>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00"/>
    <numFmt numFmtId="173" formatCode="#,##0.0"/>
    <numFmt numFmtId="174" formatCode="0000"/>
    <numFmt numFmtId="175" formatCode="00000000000"/>
    <numFmt numFmtId="176" formatCode="00000000"/>
    <numFmt numFmtId="177" formatCode="0000000"/>
    <numFmt numFmtId="178" formatCode="#,##0.0000"/>
  </numFmts>
  <fonts count="99">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hair"/>
      <top style="hair"/>
      <bottom/>
    </border>
    <border>
      <left style="hair"/>
      <right style="hair"/>
      <top style="hair"/>
      <bottom/>
    </border>
    <border>
      <left style="hair"/>
      <right/>
      <top style="hair"/>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style="hair"/>
      <right style="hair"/>
      <top/>
      <bottom style="hair"/>
    </border>
    <border>
      <left style="hair"/>
      <right/>
      <top/>
      <bottom style="hair"/>
    </border>
    <border>
      <left style="thin">
        <color indexed="9"/>
      </left>
      <right style="thin">
        <color indexed="9"/>
      </right>
      <top style="thin">
        <color indexed="8"/>
      </top>
      <bottom style="thin">
        <color indexed="9"/>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top style="medium">
        <color indexed="55"/>
      </top>
      <bottom style="medium">
        <color indexed="55"/>
      </bottom>
    </border>
    <border>
      <left style="hair"/>
      <right style="hair"/>
      <top style="thin">
        <color indexed="22"/>
      </top>
      <bottom style="thin">
        <color indexed="8"/>
      </bottom>
    </border>
    <border>
      <left style="hair"/>
      <right style="hair"/>
      <top style="thin">
        <color indexed="8"/>
      </top>
      <bottom style="thin">
        <color indexed="22"/>
      </bottom>
    </border>
    <border>
      <left/>
      <right/>
      <top style="thin">
        <color indexed="8"/>
      </top>
      <bottom style="thin">
        <color indexed="8"/>
      </bottom>
    </border>
    <border>
      <left/>
      <right style="thin">
        <color indexed="9"/>
      </right>
      <top style="thin">
        <color indexed="8"/>
      </top>
      <bottom style="thin">
        <color indexed="8"/>
      </bottom>
    </border>
    <border>
      <left style="medium"/>
      <right/>
      <top style="medium"/>
      <bottom style="medium"/>
    </border>
    <border>
      <left/>
      <right style="thin">
        <color indexed="8"/>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thin">
        <color indexed="8"/>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38" fillId="38" borderId="1" applyNumberFormat="0" applyAlignment="0" applyProtection="0"/>
    <xf numFmtId="0" fontId="39" fillId="39"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85"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46"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47" fillId="48" borderId="0" applyNumberFormat="0" applyBorder="0" applyAlignment="0" applyProtection="0"/>
    <xf numFmtId="0" fontId="93" fillId="4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1" fillId="0" borderId="0" applyNumberForma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2"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100" applyFont="1" applyFill="1" applyBorder="1" applyAlignment="1">
      <alignment horizontal="right" vertical="center"/>
      <protection/>
    </xf>
    <xf numFmtId="0" fontId="7" fillId="0" borderId="0" xfId="100" applyFont="1" applyFill="1" applyBorder="1" applyAlignment="1">
      <alignment vertical="center"/>
      <protection/>
    </xf>
    <xf numFmtId="1" fontId="7"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7"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7" fillId="0" borderId="0" xfId="100" applyNumberFormat="1" applyFont="1" applyFill="1" applyBorder="1" applyAlignment="1">
      <alignment horizontal="right" vertical="center"/>
      <protection/>
    </xf>
    <xf numFmtId="49" fontId="7"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7"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4"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74"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4" fillId="0" borderId="23" xfId="99" applyNumberFormat="1" applyFont="1" applyFill="1" applyBorder="1" applyAlignment="1">
      <alignment horizontal="right" vertical="center"/>
      <protection/>
    </xf>
    <xf numFmtId="174"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9" applyNumberFormat="1" applyFont="1" applyFill="1" applyBorder="1" applyAlignment="1">
      <alignment horizontal="right" vertical="center"/>
      <protection/>
    </xf>
    <xf numFmtId="174" fontId="33" fillId="0" borderId="24" xfId="0" applyNumberFormat="1" applyFont="1" applyFill="1" applyBorder="1" applyAlignment="1">
      <alignment horizontal="center" vertical="center"/>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75" fontId="30" fillId="53" borderId="19" xfId="0" applyNumberFormat="1" applyFont="1" applyFill="1" applyBorder="1" applyAlignment="1" applyProtection="1">
      <alignment horizontal="center" vertical="center" shrinkToFit="1"/>
      <protection locked="0"/>
    </xf>
    <xf numFmtId="177"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73" fontId="33" fillId="0" borderId="27" xfId="0" applyNumberFormat="1" applyFont="1" applyFill="1" applyBorder="1" applyAlignment="1" applyProtection="1">
      <alignment horizontal="right" vertical="center"/>
      <protection/>
    </xf>
    <xf numFmtId="173" fontId="33" fillId="0" borderId="28" xfId="0" applyNumberFormat="1" applyFont="1" applyFill="1" applyBorder="1" applyAlignment="1" applyProtection="1">
      <alignment horizontal="right" vertical="center"/>
      <protection/>
    </xf>
    <xf numFmtId="173" fontId="33" fillId="0" borderId="29" xfId="0" applyNumberFormat="1" applyFont="1" applyFill="1" applyBorder="1" applyAlignment="1" applyProtection="1">
      <alignment horizontal="right" vertical="center"/>
      <protection/>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3"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5" applyNumberFormat="1" applyFont="1" applyFill="1" applyBorder="1" applyAlignment="1" applyProtection="1">
      <alignment horizontal="left" shrinkToFit="1"/>
      <protection/>
    </xf>
    <xf numFmtId="0" fontId="52" fillId="0" borderId="38" xfId="95" applyNumberFormat="1" applyFont="1" applyFill="1" applyBorder="1" applyAlignment="1" applyProtection="1">
      <alignment horizontal="left" shrinkToFit="1"/>
      <protection/>
    </xf>
    <xf numFmtId="49" fontId="52" fillId="0" borderId="0" xfId="95" applyNumberFormat="1" applyFont="1" applyFill="1" applyBorder="1" applyAlignment="1" applyProtection="1">
      <alignment horizontal="left" shrinkToFit="1"/>
      <protection/>
    </xf>
    <xf numFmtId="0" fontId="52" fillId="0" borderId="0" xfId="102" applyNumberFormat="1" applyFont="1" applyBorder="1" applyAlignment="1">
      <alignment horizontal="left" shrinkToFit="1"/>
      <protection/>
    </xf>
    <xf numFmtId="0" fontId="5"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5" fillId="0" borderId="0" xfId="95" applyNumberFormat="1" applyFont="1" applyFill="1" applyBorder="1" applyAlignment="1" applyProtection="1">
      <alignment vertical="center"/>
      <protection hidden="1"/>
    </xf>
    <xf numFmtId="0" fontId="58"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73" fontId="33" fillId="0" borderId="40" xfId="98" applyNumberFormat="1" applyFont="1" applyFill="1" applyBorder="1" applyAlignment="1">
      <alignment horizontal="right" vertical="center"/>
      <protection/>
    </xf>
    <xf numFmtId="173" fontId="33" fillId="0" borderId="41" xfId="98" applyNumberFormat="1" applyFont="1" applyFill="1" applyBorder="1" applyAlignment="1">
      <alignment horizontal="right" vertical="center"/>
      <protection/>
    </xf>
    <xf numFmtId="0" fontId="60" fillId="0" borderId="0" xfId="98" applyFont="1" applyProtection="1">
      <alignment/>
      <protection hidden="1"/>
    </xf>
    <xf numFmtId="0" fontId="60" fillId="0" borderId="0" xfId="98" applyFont="1" applyAlignment="1" applyProtection="1">
      <alignment/>
      <protection hidden="1"/>
    </xf>
    <xf numFmtId="0" fontId="60" fillId="0" borderId="0" xfId="98" applyFont="1">
      <alignment/>
      <protection/>
    </xf>
    <xf numFmtId="0" fontId="33" fillId="0" borderId="42" xfId="91" applyNumberFormat="1" applyFont="1" applyFill="1" applyBorder="1" applyAlignment="1" applyProtection="1">
      <alignment horizontal="left" vertical="center"/>
      <protection/>
    </xf>
    <xf numFmtId="172"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2"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2" fontId="33" fillId="0" borderId="29" xfId="91" applyNumberFormat="1" applyFont="1" applyFill="1" applyBorder="1" applyAlignment="1" applyProtection="1">
      <alignment horizontal="center" vertical="center"/>
      <protection/>
    </xf>
    <xf numFmtId="0" fontId="63" fillId="0" borderId="43" xfId="91" applyNumberFormat="1" applyFont="1" applyFill="1" applyBorder="1" applyAlignment="1" applyProtection="1">
      <alignment horizontal="left" vertical="center" shrinkToFit="1"/>
      <protection/>
    </xf>
    <xf numFmtId="49" fontId="54" fillId="0" borderId="42" xfId="91" applyNumberFormat="1" applyFont="1" applyFill="1" applyBorder="1" applyAlignment="1" applyProtection="1">
      <alignment horizontal="left" vertical="center"/>
      <protection hidden="1"/>
    </xf>
    <xf numFmtId="172" fontId="33" fillId="0" borderId="27" xfId="98" applyNumberFormat="1" applyFont="1" applyFill="1" applyBorder="1" applyAlignment="1" applyProtection="1">
      <alignment horizontal="center" vertical="center"/>
      <protection hidden="1"/>
    </xf>
    <xf numFmtId="49" fontId="54" fillId="0" borderId="43" xfId="91" applyNumberFormat="1" applyFont="1" applyFill="1" applyBorder="1" applyAlignment="1" applyProtection="1">
      <alignment horizontal="left" vertical="center"/>
      <protection hidden="1"/>
    </xf>
    <xf numFmtId="172" fontId="33" fillId="0" borderId="28" xfId="98" applyNumberFormat="1" applyFont="1" applyFill="1" applyBorder="1" applyAlignment="1" applyProtection="1">
      <alignment horizontal="center" vertical="center"/>
      <protection hidden="1"/>
    </xf>
    <xf numFmtId="173" fontId="33" fillId="0" borderId="45"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49" fontId="33" fillId="0" borderId="46" xfId="91" applyNumberFormat="1" applyFont="1" applyFill="1" applyBorder="1" applyAlignment="1" applyProtection="1">
      <alignment horizontal="left" vertical="center"/>
      <protection hidden="1"/>
    </xf>
    <xf numFmtId="172" fontId="33" fillId="0" borderId="47" xfId="98" applyNumberFormat="1" applyFont="1" applyFill="1" applyBorder="1" applyAlignment="1" applyProtection="1">
      <alignment horizontal="center" vertical="center"/>
      <protection hidden="1"/>
    </xf>
    <xf numFmtId="173" fontId="33" fillId="0" borderId="48" xfId="98" applyNumberFormat="1" applyFont="1" applyFill="1" applyBorder="1" applyAlignment="1">
      <alignment horizontal="right" vertical="center"/>
      <protection/>
    </xf>
    <xf numFmtId="173" fontId="33" fillId="0" borderId="49" xfId="98" applyNumberFormat="1" applyFont="1" applyFill="1" applyBorder="1" applyAlignment="1">
      <alignment horizontal="right" vertical="center"/>
      <protection/>
    </xf>
    <xf numFmtId="173" fontId="33" fillId="0" borderId="50"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0" fontId="18" fillId="0" borderId="0" xfId="95" applyNumberFormat="1" applyFont="1" applyFill="1" applyBorder="1" applyAlignment="1" applyProtection="1">
      <alignment vertical="center"/>
      <protection/>
    </xf>
    <xf numFmtId="0" fontId="18" fillId="0" borderId="51"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1" xfId="95" applyNumberFormat="1" applyFont="1" applyFill="1" applyBorder="1" applyAlignment="1" applyProtection="1">
      <alignment horizontal="center" vertical="center"/>
      <protection/>
    </xf>
    <xf numFmtId="0" fontId="53" fillId="0" borderId="51" xfId="94" applyNumberFormat="1" applyFont="1" applyBorder="1" applyAlignment="1" applyProtection="1">
      <alignment horizontal="left" vertical="center"/>
      <protection/>
    </xf>
    <xf numFmtId="0" fontId="53"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58" fillId="0" borderId="0" xfId="98" applyNumberFormat="1" applyFont="1">
      <alignment/>
      <protection/>
    </xf>
    <xf numFmtId="0" fontId="53" fillId="0" borderId="0" xfId="94" applyNumberFormat="1" applyFont="1" applyBorder="1" applyAlignment="1" applyProtection="1">
      <alignment vertical="center"/>
      <protection/>
    </xf>
    <xf numFmtId="173" fontId="33" fillId="0" borderId="52" xfId="0" applyNumberFormat="1" applyFont="1" applyFill="1" applyBorder="1" applyAlignment="1" applyProtection="1">
      <alignment horizontal="right" vertical="center"/>
      <protection hidden="1"/>
    </xf>
    <xf numFmtId="173" fontId="33" fillId="0" borderId="53" xfId="0" applyNumberFormat="1" applyFont="1" applyFill="1" applyBorder="1" applyAlignment="1" applyProtection="1">
      <alignment horizontal="right" vertical="center"/>
      <protection hidden="1"/>
    </xf>
    <xf numFmtId="173" fontId="33" fillId="0" borderId="54" xfId="0" applyNumberFormat="1" applyFont="1" applyFill="1" applyBorder="1" applyAlignment="1" applyProtection="1">
      <alignment horizontal="right" vertical="center"/>
      <protection hidden="1"/>
    </xf>
    <xf numFmtId="49" fontId="33" fillId="0" borderId="55" xfId="91" applyNumberFormat="1" applyFont="1" applyFill="1" applyBorder="1" applyAlignment="1">
      <alignment horizontal="left" vertical="center"/>
      <protection/>
    </xf>
    <xf numFmtId="49" fontId="33" fillId="0" borderId="56" xfId="91" applyNumberFormat="1" applyFont="1" applyFill="1" applyBorder="1" applyAlignment="1">
      <alignment horizontal="left" vertical="center"/>
      <protection/>
    </xf>
    <xf numFmtId="0" fontId="58" fillId="0" borderId="0" xfId="97" applyFont="1">
      <alignment/>
      <protection/>
    </xf>
    <xf numFmtId="49" fontId="33" fillId="0" borderId="57" xfId="91" applyNumberFormat="1" applyFont="1" applyFill="1" applyBorder="1" applyAlignment="1">
      <alignment horizontal="left" vertical="center"/>
      <protection/>
    </xf>
    <xf numFmtId="172" fontId="33" fillId="0" borderId="58" xfId="91" applyNumberFormat="1" applyFont="1" applyFill="1" applyBorder="1" applyAlignment="1">
      <alignment horizontal="center" vertical="center"/>
      <protection/>
    </xf>
    <xf numFmtId="173" fontId="33" fillId="0" borderId="58" xfId="0" applyNumberFormat="1" applyFont="1" applyFill="1" applyBorder="1" applyAlignment="1" applyProtection="1">
      <alignment horizontal="right" vertical="center"/>
      <protection hidden="1"/>
    </xf>
    <xf numFmtId="172" fontId="33" fillId="0" borderId="59" xfId="91" applyNumberFormat="1" applyFont="1" applyFill="1" applyBorder="1" applyAlignment="1">
      <alignment horizontal="center" vertical="center"/>
      <protection/>
    </xf>
    <xf numFmtId="173" fontId="33" fillId="0" borderId="59" xfId="0" applyNumberFormat="1" applyFont="1" applyFill="1" applyBorder="1" applyAlignment="1" applyProtection="1">
      <alignment horizontal="right" vertical="center"/>
      <protection hidden="1"/>
    </xf>
    <xf numFmtId="49" fontId="33" fillId="0" borderId="60" xfId="91" applyNumberFormat="1" applyFont="1" applyFill="1" applyBorder="1" applyAlignment="1">
      <alignment horizontal="left" vertical="center"/>
      <protection/>
    </xf>
    <xf numFmtId="49" fontId="33" fillId="0" borderId="61" xfId="91" applyNumberFormat="1" applyFont="1" applyFill="1" applyBorder="1" applyAlignment="1">
      <alignment horizontal="left" vertical="center"/>
      <protection/>
    </xf>
    <xf numFmtId="49" fontId="33" fillId="0" borderId="62" xfId="91" applyNumberFormat="1" applyFont="1" applyFill="1" applyBorder="1" applyAlignment="1">
      <alignment horizontal="left" vertical="center"/>
      <protection/>
    </xf>
    <xf numFmtId="172" fontId="33" fillId="0" borderId="63" xfId="91" applyNumberFormat="1" applyFont="1" applyFill="1" applyBorder="1" applyAlignment="1">
      <alignment horizontal="center" vertical="center"/>
      <protection/>
    </xf>
    <xf numFmtId="172" fontId="33" fillId="0" borderId="64" xfId="91" applyNumberFormat="1" applyFont="1" applyFill="1" applyBorder="1" applyAlignment="1">
      <alignment horizontal="center" vertical="center"/>
      <protection/>
    </xf>
    <xf numFmtId="173" fontId="33" fillId="0" borderId="64" xfId="0" applyNumberFormat="1" applyFont="1" applyFill="1" applyBorder="1" applyAlignment="1" applyProtection="1">
      <alignment horizontal="right" vertical="center"/>
      <protection hidden="1"/>
    </xf>
    <xf numFmtId="172" fontId="33" fillId="0" borderId="28" xfId="91" applyNumberFormat="1" applyFont="1" applyFill="1" applyBorder="1" applyAlignment="1">
      <alignment horizontal="center" vertical="center"/>
      <protection/>
    </xf>
    <xf numFmtId="173" fontId="33" fillId="0" borderId="28" xfId="0" applyNumberFormat="1" applyFont="1" applyFill="1" applyBorder="1" applyAlignment="1" applyProtection="1">
      <alignment horizontal="right" vertical="center"/>
      <protection hidden="1"/>
    </xf>
    <xf numFmtId="172" fontId="33" fillId="0" borderId="47" xfId="91" applyNumberFormat="1" applyFont="1" applyFill="1" applyBorder="1" applyAlignment="1">
      <alignment horizontal="center" vertical="center"/>
      <protection/>
    </xf>
    <xf numFmtId="173" fontId="33" fillId="0" borderId="47"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65" xfId="73" applyFont="1" applyFill="1" applyBorder="1" applyAlignment="1" applyProtection="1">
      <alignment horizontal="center" vertical="center" wrapText="1"/>
      <protection hidden="1"/>
    </xf>
    <xf numFmtId="0" fontId="28" fillId="55" borderId="66" xfId="73" applyFont="1" applyFill="1" applyBorder="1" applyAlignment="1" applyProtection="1">
      <alignment horizontal="center" vertical="center" wrapText="1"/>
      <protection hidden="1"/>
    </xf>
    <xf numFmtId="172" fontId="33" fillId="0" borderId="64" xfId="0" applyNumberFormat="1" applyFont="1" applyFill="1" applyBorder="1" applyAlignment="1" applyProtection="1">
      <alignment horizontal="center" vertical="center"/>
      <protection hidden="1"/>
    </xf>
    <xf numFmtId="172" fontId="33" fillId="0" borderId="47" xfId="0" applyNumberFormat="1" applyFont="1" applyFill="1" applyBorder="1" applyAlignment="1" applyProtection="1">
      <alignment horizontal="center" vertical="center"/>
      <protection hidden="1"/>
    </xf>
    <xf numFmtId="3" fontId="33" fillId="0" borderId="64" xfId="0" applyNumberFormat="1" applyFont="1" applyFill="1" applyBorder="1" applyAlignment="1" applyProtection="1">
      <alignment horizontal="right" vertical="center" shrinkToFit="1"/>
      <protection hidden="1"/>
    </xf>
    <xf numFmtId="172" fontId="33" fillId="0" borderId="28" xfId="0" applyNumberFormat="1" applyFont="1" applyFill="1" applyBorder="1" applyAlignment="1" applyProtection="1">
      <alignment horizontal="center" vertical="center"/>
      <protection hidden="1"/>
    </xf>
    <xf numFmtId="3" fontId="33" fillId="0" borderId="47" xfId="0" applyNumberFormat="1" applyFont="1" applyFill="1" applyBorder="1" applyAlignment="1" applyProtection="1">
      <alignment horizontal="right" vertical="center" shrinkToFit="1"/>
      <protection hidden="1"/>
    </xf>
    <xf numFmtId="0" fontId="67" fillId="56" borderId="20" xfId="92" applyFont="1" applyFill="1" applyBorder="1" applyAlignment="1" applyProtection="1">
      <alignment horizontal="center" vertical="center" wrapText="1"/>
      <protection hidden="1"/>
    </xf>
    <xf numFmtId="0" fontId="67" fillId="56" borderId="20" xfId="0" applyFont="1" applyFill="1" applyBorder="1" applyAlignment="1" applyProtection="1">
      <alignment horizontal="center" vertical="center" wrapText="1"/>
      <protection hidden="1"/>
    </xf>
    <xf numFmtId="0" fontId="68" fillId="0" borderId="20" xfId="0" applyFont="1" applyFill="1" applyBorder="1" applyAlignment="1" applyProtection="1">
      <alignment horizontal="center" vertical="center" wrapText="1"/>
      <protection hidden="1"/>
    </xf>
    <xf numFmtId="0" fontId="56" fillId="56" borderId="67" xfId="0" applyFont="1" applyFill="1" applyBorder="1" applyAlignment="1" applyProtection="1">
      <alignment horizontal="center" vertical="center" wrapText="1"/>
      <protection hidden="1"/>
    </xf>
    <xf numFmtId="0" fontId="28" fillId="54" borderId="65"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3" fillId="0" borderId="51" xfId="94" applyNumberFormat="1" applyFont="1" applyBorder="1" applyAlignment="1" applyProtection="1">
      <alignment horizontal="left" vertical="center"/>
      <protection/>
    </xf>
    <xf numFmtId="0" fontId="19" fillId="0" borderId="68"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76" fontId="18" fillId="0" borderId="39" xfId="95" applyNumberFormat="1" applyFont="1" applyFill="1" applyBorder="1" applyAlignment="1" applyProtection="1">
      <alignment horizontal="left"/>
      <protection hidden="1"/>
    </xf>
    <xf numFmtId="177"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9"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4" borderId="70" xfId="0" applyFont="1" applyFill="1" applyBorder="1" applyAlignment="1">
      <alignment horizontal="center" vertical="center"/>
    </xf>
    <xf numFmtId="0" fontId="71" fillId="54" borderId="71" xfId="0" applyFont="1" applyFill="1" applyBorder="1" applyAlignment="1">
      <alignment horizontal="center" vertical="center"/>
    </xf>
    <xf numFmtId="0" fontId="5"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2" xfId="0" applyFill="1" applyBorder="1" applyAlignment="1">
      <alignment/>
    </xf>
    <xf numFmtId="0" fontId="5" fillId="50" borderId="73" xfId="0" applyFont="1" applyFill="1" applyBorder="1" applyAlignment="1">
      <alignment horizontal="right" vertical="center"/>
    </xf>
    <xf numFmtId="0" fontId="5" fillId="50" borderId="74" xfId="0" applyFont="1" applyFill="1" applyBorder="1" applyAlignment="1">
      <alignment horizontal="center" vertical="center"/>
    </xf>
    <xf numFmtId="0" fontId="16" fillId="0" borderId="68"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3"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5" xfId="91" applyNumberFormat="1" applyFont="1" applyFill="1" applyBorder="1" applyAlignment="1">
      <alignment horizontal="left" vertical="center"/>
      <protection/>
    </xf>
    <xf numFmtId="172" fontId="33" fillId="0" borderId="76" xfId="91" applyNumberFormat="1" applyFont="1" applyFill="1" applyBorder="1" applyAlignment="1">
      <alignment horizontal="center" vertical="center"/>
      <protection/>
    </xf>
    <xf numFmtId="173" fontId="33" fillId="0" borderId="76" xfId="0" applyNumberFormat="1" applyFont="1" applyFill="1" applyBorder="1" applyAlignment="1" applyProtection="1">
      <alignment horizontal="right" vertical="center"/>
      <protection hidden="1"/>
    </xf>
    <xf numFmtId="49" fontId="54" fillId="0" borderId="77" xfId="91" applyNumberFormat="1" applyFont="1" applyFill="1" applyBorder="1" applyAlignment="1">
      <alignment horizontal="left" vertical="center"/>
      <protection/>
    </xf>
    <xf numFmtId="172" fontId="33" fillId="0" borderId="78" xfId="91" applyNumberFormat="1" applyFont="1" applyFill="1" applyBorder="1" applyAlignment="1">
      <alignment horizontal="center" vertical="center"/>
      <protection/>
    </xf>
    <xf numFmtId="173" fontId="33" fillId="0" borderId="78" xfId="0" applyNumberFormat="1" applyFont="1" applyFill="1" applyBorder="1" applyAlignment="1" applyProtection="1">
      <alignment horizontal="right" vertical="center"/>
      <protection hidden="1"/>
    </xf>
    <xf numFmtId="49" fontId="54" fillId="0" borderId="79" xfId="91" applyNumberFormat="1" applyFont="1" applyFill="1" applyBorder="1" applyAlignment="1">
      <alignment horizontal="left" vertical="center"/>
      <protection/>
    </xf>
    <xf numFmtId="172" fontId="33" fillId="0" borderId="26" xfId="91" applyNumberFormat="1" applyFont="1" applyFill="1" applyBorder="1" applyAlignment="1">
      <alignment horizontal="center" vertical="center"/>
      <protection/>
    </xf>
    <xf numFmtId="173" fontId="33" fillId="0" borderId="26" xfId="0" applyNumberFormat="1" applyFont="1" applyFill="1" applyBorder="1" applyAlignment="1" applyProtection="1">
      <alignment horizontal="right" vertical="center"/>
      <protection hidden="1"/>
    </xf>
    <xf numFmtId="14" fontId="75" fillId="53" borderId="34" xfId="0" applyNumberFormat="1" applyFont="1" applyFill="1" applyBorder="1" applyAlignment="1" applyProtection="1">
      <alignment horizontal="center" vertical="center"/>
      <protection locked="0"/>
    </xf>
    <xf numFmtId="0" fontId="66" fillId="0" borderId="0" xfId="98"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39" borderId="20" xfId="0" applyFont="1" applyFill="1" applyBorder="1" applyAlignment="1" applyProtection="1">
      <alignment horizontal="center" vertical="center" wrapText="1"/>
      <protection hidden="1"/>
    </xf>
    <xf numFmtId="0" fontId="73"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0"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2"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178" fontId="0" fillId="0" borderId="0" xfId="0" applyNumberFormat="1" applyFont="1" applyFill="1" applyAlignment="1">
      <alignment/>
    </xf>
    <xf numFmtId="4" fontId="33" fillId="0" borderId="64" xfId="0" applyNumberFormat="1" applyFont="1" applyFill="1" applyBorder="1" applyAlignment="1" applyProtection="1">
      <alignment horizontal="right" vertical="center" shrinkToFit="1"/>
      <protection hidden="1"/>
    </xf>
    <xf numFmtId="4" fontId="33" fillId="0" borderId="47" xfId="0" applyNumberFormat="1" applyFont="1" applyFill="1" applyBorder="1" applyAlignment="1" applyProtection="1">
      <alignment horizontal="right" vertical="center" shrinkToFit="1"/>
      <protection hidden="1"/>
    </xf>
    <xf numFmtId="4" fontId="33" fillId="0" borderId="28" xfId="0" applyNumberFormat="1" applyFont="1" applyFill="1" applyBorder="1" applyAlignment="1" applyProtection="1">
      <alignment horizontal="right" vertical="center" shrinkToFit="1"/>
      <protection hidden="1"/>
    </xf>
    <xf numFmtId="4" fontId="33" fillId="53" borderId="27" xfId="0" applyNumberFormat="1" applyFont="1" applyFill="1" applyBorder="1" applyAlignment="1" applyProtection="1">
      <alignment vertical="center"/>
      <protection hidden="1"/>
    </xf>
    <xf numFmtId="4" fontId="33" fillId="53" borderId="28" xfId="0" applyNumberFormat="1" applyFont="1" applyFill="1" applyBorder="1" applyAlignment="1" applyProtection="1">
      <alignment vertical="center"/>
      <protection hidden="1"/>
    </xf>
    <xf numFmtId="4" fontId="33" fillId="0" borderId="28" xfId="0" applyNumberFormat="1" applyFont="1" applyFill="1" applyBorder="1" applyAlignment="1" applyProtection="1">
      <alignment vertical="center"/>
      <protection locked="0"/>
    </xf>
    <xf numFmtId="4" fontId="33" fillId="0" borderId="29" xfId="0" applyNumberFormat="1" applyFont="1" applyFill="1" applyBorder="1" applyAlignment="1" applyProtection="1">
      <alignment vertical="center"/>
      <protection locked="0"/>
    </xf>
    <xf numFmtId="4" fontId="33" fillId="53" borderId="29" xfId="0" applyNumberFormat="1" applyFont="1" applyFill="1" applyBorder="1" applyAlignment="1" applyProtection="1">
      <alignment vertical="center"/>
      <protection hidden="1"/>
    </xf>
    <xf numFmtId="4" fontId="33" fillId="0" borderId="27" xfId="0" applyNumberFormat="1" applyFont="1" applyFill="1" applyBorder="1" applyAlignment="1" applyProtection="1">
      <alignment vertical="center"/>
      <protection locked="0"/>
    </xf>
    <xf numFmtId="0" fontId="33" fillId="58" borderId="43" xfId="91" applyNumberFormat="1" applyFont="1" applyFill="1" applyBorder="1" applyAlignment="1" applyProtection="1">
      <alignment horizontal="left" vertical="center"/>
      <protection/>
    </xf>
    <xf numFmtId="172" fontId="33" fillId="58" borderId="28" xfId="91" applyNumberFormat="1" applyFont="1" applyFill="1" applyBorder="1" applyAlignment="1" applyProtection="1">
      <alignment horizontal="center" vertical="center"/>
      <protection/>
    </xf>
    <xf numFmtId="3" fontId="33" fillId="58" borderId="28" xfId="0" applyNumberFormat="1" applyFont="1" applyFill="1" applyBorder="1" applyAlignment="1" applyProtection="1">
      <alignment vertical="center"/>
      <protection locked="0"/>
    </xf>
    <xf numFmtId="173" fontId="33" fillId="58" borderId="28" xfId="0" applyNumberFormat="1" applyFont="1" applyFill="1" applyBorder="1" applyAlignment="1" applyProtection="1">
      <alignment horizontal="right" vertical="center"/>
      <protection/>
    </xf>
    <xf numFmtId="0" fontId="33" fillId="58" borderId="44" xfId="91" applyNumberFormat="1" applyFont="1" applyFill="1" applyBorder="1" applyAlignment="1" applyProtection="1">
      <alignment horizontal="left" vertical="center"/>
      <protection/>
    </xf>
    <xf numFmtId="172" fontId="33" fillId="58" borderId="29" xfId="91" applyNumberFormat="1" applyFont="1" applyFill="1" applyBorder="1" applyAlignment="1" applyProtection="1">
      <alignment horizontal="center" vertical="center"/>
      <protection/>
    </xf>
    <xf numFmtId="3" fontId="33" fillId="58" borderId="29" xfId="0" applyNumberFormat="1" applyFont="1" applyFill="1" applyBorder="1" applyAlignment="1" applyProtection="1">
      <alignment vertical="center"/>
      <protection locked="0"/>
    </xf>
    <xf numFmtId="173" fontId="33" fillId="58" borderId="29"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58" xfId="0" applyNumberFormat="1" applyFont="1" applyFill="1" applyBorder="1" applyAlignment="1" applyProtection="1">
      <alignment vertical="center" shrinkToFit="1"/>
      <protection locked="0"/>
    </xf>
    <xf numFmtId="4" fontId="33" fillId="0" borderId="59" xfId="0" applyNumberFormat="1" applyFont="1" applyFill="1" applyBorder="1" applyAlignment="1" applyProtection="1">
      <alignment vertical="center" shrinkToFit="1"/>
      <protection locked="0"/>
    </xf>
    <xf numFmtId="4" fontId="33" fillId="53" borderId="59" xfId="0" applyNumberFormat="1" applyFont="1" applyFill="1" applyBorder="1" applyAlignment="1" applyProtection="1">
      <alignment vertical="center"/>
      <protection hidden="1"/>
    </xf>
    <xf numFmtId="4" fontId="33" fillId="53" borderId="63" xfId="0" applyNumberFormat="1" applyFont="1" applyFill="1" applyBorder="1" applyAlignment="1" applyProtection="1">
      <alignment vertical="center"/>
      <protection hidden="1"/>
    </xf>
    <xf numFmtId="4" fontId="33" fillId="53" borderId="59" xfId="0" applyNumberFormat="1" applyFont="1" applyFill="1" applyBorder="1" applyAlignment="1" applyProtection="1">
      <alignment vertical="center"/>
      <protection/>
    </xf>
    <xf numFmtId="4" fontId="33" fillId="53" borderId="76" xfId="0" applyNumberFormat="1" applyFont="1" applyFill="1" applyBorder="1" applyAlignment="1" applyProtection="1">
      <alignment vertical="center"/>
      <protection hidden="1"/>
    </xf>
    <xf numFmtId="4" fontId="33" fillId="53" borderId="26" xfId="0" applyNumberFormat="1" applyFont="1" applyFill="1" applyBorder="1" applyAlignment="1" applyProtection="1">
      <alignment vertical="center"/>
      <protection hidden="1"/>
    </xf>
    <xf numFmtId="4" fontId="33" fillId="0" borderId="64" xfId="0" applyNumberFormat="1" applyFont="1" applyFill="1" applyBorder="1" applyAlignment="1" applyProtection="1">
      <alignment vertical="center" shrinkToFit="1"/>
      <protection locked="0"/>
    </xf>
    <xf numFmtId="4" fontId="33" fillId="0" borderId="28" xfId="0" applyNumberFormat="1" applyFont="1" applyFill="1" applyBorder="1" applyAlignment="1" applyProtection="1">
      <alignment vertical="center" shrinkToFit="1"/>
      <protection locked="0"/>
    </xf>
    <xf numFmtId="49" fontId="33" fillId="59" borderId="57" xfId="91" applyNumberFormat="1" applyFont="1" applyFill="1" applyBorder="1" applyAlignment="1">
      <alignment horizontal="left" vertical="center"/>
      <protection/>
    </xf>
    <xf numFmtId="172" fontId="33" fillId="59" borderId="28" xfId="91" applyNumberFormat="1" applyFont="1" applyFill="1" applyBorder="1" applyAlignment="1">
      <alignment horizontal="center" vertical="center"/>
      <protection/>
    </xf>
    <xf numFmtId="3" fontId="33" fillId="59" borderId="28" xfId="0" applyNumberFormat="1" applyFont="1" applyFill="1" applyBorder="1" applyAlignment="1" applyProtection="1">
      <alignment vertical="center" shrinkToFit="1"/>
      <protection locked="0"/>
    </xf>
    <xf numFmtId="173" fontId="33" fillId="59" borderId="28"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1" xfId="98" applyNumberFormat="1" applyFont="1" applyFill="1" applyBorder="1" applyAlignment="1" applyProtection="1">
      <alignment vertical="center"/>
      <protection locked="0"/>
    </xf>
    <xf numFmtId="4" fontId="33" fillId="0" borderId="58" xfId="98" applyNumberFormat="1" applyFont="1" applyFill="1" applyBorder="1" applyAlignment="1" applyProtection="1">
      <alignment vertical="center"/>
      <protection locked="0"/>
    </xf>
    <xf numFmtId="4" fontId="33" fillId="53" borderId="82" xfId="98" applyNumberFormat="1" applyFont="1" applyFill="1" applyBorder="1" applyAlignment="1" applyProtection="1">
      <alignment vertical="center"/>
      <protection hidden="1"/>
    </xf>
    <xf numFmtId="4" fontId="33" fillId="53" borderId="81" xfId="98" applyNumberFormat="1" applyFont="1" applyFill="1" applyBorder="1" applyAlignment="1" applyProtection="1">
      <alignment vertical="center"/>
      <protection hidden="1"/>
    </xf>
    <xf numFmtId="4" fontId="33" fillId="53" borderId="83" xfId="98" applyNumberFormat="1" applyFont="1" applyFill="1" applyBorder="1" applyAlignment="1" applyProtection="1">
      <alignment vertical="center"/>
      <protection hidden="1"/>
    </xf>
    <xf numFmtId="4" fontId="33" fillId="0" borderId="84" xfId="98" applyNumberFormat="1" applyFont="1" applyFill="1" applyBorder="1" applyAlignment="1" applyProtection="1">
      <alignment vertical="center"/>
      <protection locked="0"/>
    </xf>
    <xf numFmtId="4" fontId="33" fillId="0" borderId="45" xfId="98" applyNumberFormat="1" applyFont="1" applyFill="1" applyBorder="1" applyAlignment="1" applyProtection="1">
      <alignment vertical="center"/>
      <protection locked="0"/>
    </xf>
    <xf numFmtId="4" fontId="33" fillId="0" borderId="85" xfId="98" applyNumberFormat="1" applyFont="1" applyFill="1" applyBorder="1" applyAlignment="1" applyProtection="1">
      <alignment vertical="center"/>
      <protection locked="0"/>
    </xf>
    <xf numFmtId="4" fontId="33" fillId="0" borderId="41" xfId="98" applyNumberFormat="1" applyFont="1" applyFill="1" applyBorder="1" applyAlignment="1" applyProtection="1">
      <alignment vertical="center"/>
      <protection locked="0"/>
    </xf>
    <xf numFmtId="4" fontId="33" fillId="0" borderId="83" xfId="98" applyNumberFormat="1" applyFont="1" applyFill="1" applyBorder="1" applyAlignment="1" applyProtection="1">
      <alignment vertical="center"/>
      <protection locked="0"/>
    </xf>
    <xf numFmtId="4" fontId="33" fillId="0" borderId="59" xfId="98" applyNumberFormat="1" applyFont="1" applyFill="1" applyBorder="1" applyAlignment="1" applyProtection="1">
      <alignment vertical="center"/>
      <protection locked="0"/>
    </xf>
    <xf numFmtId="4" fontId="33" fillId="0" borderId="82" xfId="98" applyNumberFormat="1" applyFont="1" applyFill="1" applyBorder="1" applyAlignment="1" applyProtection="1">
      <alignment vertical="center"/>
      <protection locked="0"/>
    </xf>
    <xf numFmtId="4" fontId="33" fillId="0" borderId="86" xfId="98" applyNumberFormat="1" applyFont="1" applyFill="1" applyBorder="1" applyAlignment="1" applyProtection="1">
      <alignment vertical="center"/>
      <protection locked="0"/>
    </xf>
    <xf numFmtId="4" fontId="33" fillId="53" borderId="47" xfId="0" applyNumberFormat="1" applyFont="1" applyFill="1" applyBorder="1" applyAlignment="1" applyProtection="1">
      <alignment vertical="center"/>
      <protection hidden="1"/>
    </xf>
    <xf numFmtId="0" fontId="35" fillId="60"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48" borderId="72" xfId="73" applyFont="1" applyFill="1" applyBorder="1" applyAlignment="1" applyProtection="1">
      <alignment horizontal="left" vertical="center" wrapText="1"/>
      <protection hidden="1"/>
    </xf>
    <xf numFmtId="0" fontId="83" fillId="48" borderId="87" xfId="0" applyFont="1" applyFill="1" applyBorder="1" applyAlignment="1">
      <alignment vertical="center" wrapText="1"/>
    </xf>
    <xf numFmtId="0" fontId="83" fillId="48" borderId="73" xfId="0" applyFont="1" applyFill="1" applyBorder="1" applyAlignment="1">
      <alignment vertical="center" wrapText="1"/>
    </xf>
    <xf numFmtId="0" fontId="61" fillId="60" borderId="88" xfId="0" applyFont="1" applyFill="1" applyBorder="1" applyAlignment="1">
      <alignment horizontal="left" wrapText="1"/>
    </xf>
    <xf numFmtId="0" fontId="35" fillId="0" borderId="89" xfId="0" applyFont="1" applyBorder="1" applyAlignment="1">
      <alignment wrapText="1"/>
    </xf>
    <xf numFmtId="0" fontId="35" fillId="0" borderId="90" xfId="0" applyFont="1" applyBorder="1" applyAlignment="1">
      <alignment wrapText="1"/>
    </xf>
    <xf numFmtId="0" fontId="84" fillId="60" borderId="91" xfId="0" applyFont="1" applyFill="1" applyBorder="1" applyAlignment="1" applyProtection="1">
      <alignment horizontal="left" vertical="center" wrapText="1"/>
      <protection hidden="1"/>
    </xf>
    <xf numFmtId="0" fontId="84" fillId="60" borderId="92" xfId="0" applyFont="1" applyFill="1" applyBorder="1" applyAlignment="1" applyProtection="1">
      <alignment vertical="center" wrapText="1"/>
      <protection hidden="1"/>
    </xf>
    <xf numFmtId="0" fontId="84" fillId="60" borderId="93" xfId="0" applyFont="1" applyFill="1" applyBorder="1" applyAlignment="1" applyProtection="1">
      <alignment vertical="center" wrapText="1"/>
      <protection hidden="1"/>
    </xf>
    <xf numFmtId="0" fontId="26" fillId="60" borderId="88" xfId="0" applyFont="1" applyFill="1" applyBorder="1" applyAlignment="1" applyProtection="1">
      <alignment horizontal="lef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84" fillId="60" borderId="94" xfId="0" applyFont="1" applyFill="1" applyBorder="1" applyAlignment="1" applyProtection="1">
      <alignment horizontal="left" vertical="center" wrapText="1"/>
      <protection hidden="1"/>
    </xf>
    <xf numFmtId="0" fontId="29" fillId="0" borderId="95" xfId="0" applyFont="1" applyBorder="1" applyAlignment="1" applyProtection="1">
      <alignment vertical="center" wrapText="1"/>
      <protection hidden="1"/>
    </xf>
    <xf numFmtId="0" fontId="29" fillId="0" borderId="96" xfId="0" applyFont="1" applyBorder="1" applyAlignment="1" applyProtection="1">
      <alignment vertical="center" wrapText="1"/>
      <protection hidden="1"/>
    </xf>
    <xf numFmtId="0" fontId="61" fillId="50" borderId="97" xfId="73" applyFont="1" applyFill="1" applyBorder="1" applyAlignment="1" applyProtection="1">
      <alignment horizontal="center" vertical="center" wrapText="1"/>
      <protection hidden="1"/>
    </xf>
    <xf numFmtId="0" fontId="61" fillId="0" borderId="98" xfId="73" applyFont="1" applyBorder="1" applyAlignment="1" applyProtection="1">
      <alignment horizontal="center" wrapText="1"/>
      <protection hidden="1"/>
    </xf>
    <xf numFmtId="0" fontId="61" fillId="0" borderId="99" xfId="73" applyFont="1" applyBorder="1" applyAlignment="1" applyProtection="1">
      <alignment horizontal="center" wrapText="1"/>
      <protection hidden="1"/>
    </xf>
    <xf numFmtId="0" fontId="77" fillId="60" borderId="100" xfId="0" applyFont="1" applyFill="1" applyBorder="1" applyAlignment="1" applyProtection="1">
      <alignment horizontal="left" vertical="center" wrapText="1"/>
      <protection hidden="1"/>
    </xf>
    <xf numFmtId="0" fontId="77" fillId="60" borderId="34" xfId="0" applyFont="1" applyFill="1" applyBorder="1" applyAlignment="1" applyProtection="1">
      <alignment vertical="center" wrapText="1"/>
      <protection hidden="1"/>
    </xf>
    <xf numFmtId="0" fontId="77" fillId="60" borderId="101" xfId="0" applyFont="1" applyFill="1" applyBorder="1" applyAlignment="1" applyProtection="1">
      <alignment vertical="center" wrapText="1"/>
      <protection hidden="1"/>
    </xf>
    <xf numFmtId="0" fontId="53" fillId="0" borderId="69"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68" xfId="0" applyFont="1" applyBorder="1" applyAlignment="1" applyProtection="1">
      <alignment horizontal="justify" vertical="center"/>
      <protection hidden="1"/>
    </xf>
    <xf numFmtId="0" fontId="72" fillId="0" borderId="69" xfId="0" applyFont="1" applyBorder="1" applyAlignment="1" applyProtection="1">
      <alignment horizontal="justify" vertical="center" wrapText="1"/>
      <protection hidden="1"/>
    </xf>
    <xf numFmtId="0" fontId="4" fillId="50" borderId="100"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1"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8" xfId="0" applyFont="1" applyBorder="1" applyAlignment="1" applyProtection="1">
      <alignment horizontal="justify" vertical="center" wrapText="1"/>
      <protection hidden="1"/>
    </xf>
    <xf numFmtId="0" fontId="14" fillId="54" borderId="69"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69" xfId="0" applyFont="1" applyFill="1" applyBorder="1" applyAlignment="1">
      <alignment horizontal="right" vertical="center"/>
    </xf>
    <xf numFmtId="0" fontId="30" fillId="50" borderId="72" xfId="0" applyFont="1" applyFill="1" applyBorder="1" applyAlignment="1" applyProtection="1">
      <alignment horizontal="left" vertical="center" wrapText="1"/>
      <protection hidden="1"/>
    </xf>
    <xf numFmtId="0" fontId="17" fillId="50" borderId="87" xfId="0" applyFont="1" applyFill="1" applyBorder="1" applyAlignment="1" applyProtection="1">
      <alignment horizontal="left" vertical="center" wrapText="1"/>
      <protection hidden="1"/>
    </xf>
    <xf numFmtId="0" fontId="17" fillId="50" borderId="73" xfId="0" applyFont="1" applyFill="1" applyBorder="1" applyAlignment="1" applyProtection="1">
      <alignment horizontal="left" vertical="center" wrapText="1"/>
      <protection hidden="1"/>
    </xf>
    <xf numFmtId="0" fontId="72" fillId="0" borderId="88"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90" xfId="0" applyFont="1" applyBorder="1" applyAlignment="1" applyProtection="1">
      <alignment horizontal="justify" vertical="center"/>
      <protection hidden="1"/>
    </xf>
    <xf numFmtId="0" fontId="72" fillId="0" borderId="72" xfId="0" applyFont="1" applyBorder="1" applyAlignment="1" applyProtection="1">
      <alignment horizontal="justify" vertical="center" wrapText="1"/>
      <protection hidden="1"/>
    </xf>
    <xf numFmtId="0" fontId="72" fillId="0" borderId="87" xfId="0" applyFont="1" applyBorder="1" applyAlignment="1" applyProtection="1">
      <alignment horizontal="justify" vertical="center"/>
      <protection hidden="1"/>
    </xf>
    <xf numFmtId="0" fontId="72" fillId="0" borderId="73" xfId="0" applyFont="1" applyBorder="1" applyAlignment="1" applyProtection="1">
      <alignment horizontal="justify" vertical="center"/>
      <protection hidden="1"/>
    </xf>
    <xf numFmtId="0" fontId="19" fillId="60" borderId="72" xfId="0" applyFont="1" applyFill="1" applyBorder="1" applyAlignment="1" applyProtection="1">
      <alignment horizontal="left" vertical="center" wrapText="1"/>
      <protection hidden="1"/>
    </xf>
    <xf numFmtId="0" fontId="19" fillId="60" borderId="87" xfId="0" applyFont="1" applyFill="1" applyBorder="1" applyAlignment="1" applyProtection="1">
      <alignment horizontal="left" vertical="center" wrapText="1"/>
      <protection hidden="1"/>
    </xf>
    <xf numFmtId="0" fontId="19" fillId="60" borderId="73" xfId="0" applyFont="1" applyFill="1" applyBorder="1" applyAlignment="1" applyProtection="1">
      <alignment horizontal="left" vertical="center" wrapText="1"/>
      <protection hidden="1"/>
    </xf>
    <xf numFmtId="49" fontId="33" fillId="0" borderId="47" xfId="0" applyNumberFormat="1" applyFont="1" applyFill="1" applyBorder="1" applyAlignment="1" applyProtection="1">
      <alignment horizontal="left" vertical="center" wrapText="1"/>
      <protection hidden="1"/>
    </xf>
    <xf numFmtId="0" fontId="33" fillId="0" borderId="47"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0" xfId="0" applyNumberFormat="1" applyFont="1" applyFill="1" applyBorder="1" applyAlignment="1" applyProtection="1">
      <alignment horizontal="left" vertical="center"/>
      <protection locked="0"/>
    </xf>
    <xf numFmtId="0" fontId="0" fillId="53" borderId="101" xfId="0" applyFill="1" applyBorder="1" applyAlignment="1" applyProtection="1">
      <alignment horizontal="left" vertical="center"/>
      <protection locked="0"/>
    </xf>
    <xf numFmtId="49" fontId="0" fillId="53" borderId="101"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7" xfId="0" applyNumberFormat="1" applyFont="1" applyBorder="1" applyAlignment="1">
      <alignment wrapTex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69" xfId="95"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2" xfId="95" applyNumberFormat="1" applyFont="1" applyFill="1" applyBorder="1" applyAlignment="1" applyProtection="1">
      <alignment horizontal="center" vertical="center"/>
      <protection hidden="1"/>
    </xf>
    <xf numFmtId="4" fontId="19" fillId="0" borderId="73" xfId="0" applyNumberFormat="1"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68" xfId="0" applyBorder="1" applyAlignment="1">
      <alignment/>
    </xf>
    <xf numFmtId="49" fontId="30" fillId="53" borderId="100"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1"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1" xfId="0" applyNumberFormat="1" applyFont="1" applyFill="1" applyBorder="1" applyAlignment="1" applyProtection="1">
      <alignment horizontal="left" vertical="center"/>
      <protection locked="0"/>
    </xf>
    <xf numFmtId="0" fontId="33" fillId="0" borderId="64" xfId="0" applyNumberFormat="1" applyFont="1" applyFill="1" applyBorder="1" applyAlignment="1" applyProtection="1">
      <alignment horizontal="left" vertical="center" wrapText="1"/>
      <protection hidden="1"/>
    </xf>
    <xf numFmtId="0" fontId="33" fillId="0" borderId="64" xfId="0" applyNumberFormat="1" applyFont="1" applyBorder="1" applyAlignment="1">
      <alignment wrapText="1"/>
    </xf>
    <xf numFmtId="49" fontId="33" fillId="0" borderId="64" xfId="0" applyNumberFormat="1" applyFont="1" applyFill="1" applyBorder="1" applyAlignment="1" applyProtection="1">
      <alignment horizontal="left" vertical="center" wrapText="1"/>
      <protection hidden="1"/>
    </xf>
    <xf numFmtId="14" fontId="30" fillId="53" borderId="100" xfId="0" applyNumberFormat="1" applyFont="1" applyFill="1" applyBorder="1" applyAlignment="1" applyProtection="1">
      <alignment horizontal="left" vertical="center" wrapText="1"/>
      <protection locked="0"/>
    </xf>
    <xf numFmtId="0" fontId="0" fillId="53" borderId="101" xfId="0" applyNumberFormat="1" applyFill="1" applyBorder="1" applyAlignment="1" applyProtection="1">
      <alignment vertical="center" wrapText="1"/>
      <protection locked="0"/>
    </xf>
    <xf numFmtId="0" fontId="78" fillId="0" borderId="102" xfId="0" applyFont="1" applyFill="1" applyBorder="1" applyAlignment="1" applyProtection="1">
      <alignment horizontal="center" vertical="center"/>
      <protection hidden="1"/>
    </xf>
    <xf numFmtId="0" fontId="78" fillId="0" borderId="103" xfId="0" applyFont="1" applyBorder="1" applyAlignment="1">
      <alignment horizontal="center" vertical="center"/>
    </xf>
    <xf numFmtId="0" fontId="0" fillId="0" borderId="68"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0"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1"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4" xfId="0" applyNumberFormat="1" applyFont="1" applyFill="1" applyBorder="1" applyAlignment="1" applyProtection="1">
      <alignment horizontal="left" vertical="center" shrinkToFit="1"/>
      <protection hidden="1"/>
    </xf>
    <xf numFmtId="0" fontId="33" fillId="0" borderId="64" xfId="0" applyNumberFormat="1" applyFont="1" applyBorder="1" applyAlignment="1">
      <alignment shrinkToFit="1"/>
    </xf>
    <xf numFmtId="0" fontId="33" fillId="0" borderId="28" xfId="95" applyNumberFormat="1" applyFont="1" applyFill="1" applyBorder="1" applyAlignment="1" applyProtection="1">
      <alignment horizontal="left" vertical="center" wrapText="1"/>
      <protection/>
    </xf>
    <xf numFmtId="0" fontId="33" fillId="0" borderId="104" xfId="95"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3" fontId="18" fillId="0" borderId="39" xfId="95" applyNumberFormat="1" applyFont="1" applyFill="1" applyBorder="1" applyAlignment="1" applyProtection="1">
      <alignment horizontal="left"/>
      <protection hidden="1"/>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9" fillId="0" borderId="0" xfId="95" applyFont="1" applyBorder="1" applyAlignment="1" applyProtection="1">
      <alignment horizontal="right"/>
      <protection hidden="1"/>
    </xf>
    <xf numFmtId="0" fontId="33" fillId="0" borderId="107" xfId="95" applyNumberFormat="1" applyFont="1" applyFill="1" applyBorder="1" applyAlignment="1" applyProtection="1">
      <alignment horizontal="left" vertical="center" wrapText="1"/>
      <protection/>
    </xf>
    <xf numFmtId="0" fontId="33" fillId="0" borderId="108" xfId="95"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175" fontId="18" fillId="0" borderId="39" xfId="95" applyNumberFormat="1" applyFont="1" applyFill="1" applyBorder="1" applyAlignment="1" applyProtection="1">
      <alignment horizontal="left"/>
      <protection hidden="1"/>
    </xf>
    <xf numFmtId="175" fontId="19" fillId="0" borderId="39" xfId="0" applyNumberFormat="1" applyFont="1" applyBorder="1" applyAlignment="1" applyProtection="1">
      <alignment horizontal="left"/>
      <protection hidden="1"/>
    </xf>
    <xf numFmtId="0" fontId="33" fillId="0" borderId="110" xfId="0"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0" fontId="33" fillId="0" borderId="111" xfId="95" applyNumberFormat="1" applyFont="1" applyFill="1" applyBorder="1" applyAlignment="1" applyProtection="1">
      <alignment horizontal="left" vertical="center" wrapText="1"/>
      <protection/>
    </xf>
    <xf numFmtId="0" fontId="33" fillId="0" borderId="112" xfId="95" applyNumberFormat="1" applyFont="1" applyFill="1" applyBorder="1" applyAlignment="1" applyProtection="1">
      <alignment horizontal="left" vertical="center" wrapText="1"/>
      <protection/>
    </xf>
    <xf numFmtId="3" fontId="18" fillId="0" borderId="0" xfId="94" applyNumberFormat="1" applyFont="1" applyBorder="1" applyAlignment="1" applyProtection="1">
      <alignment horizontal="center" vertical="center"/>
      <protection/>
    </xf>
    <xf numFmtId="0" fontId="28" fillId="54" borderId="113" xfId="92"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16" fillId="54" borderId="114" xfId="0" applyFont="1" applyFill="1" applyBorder="1" applyAlignment="1">
      <alignment horizontal="center" vertical="center" wrapText="1"/>
    </xf>
    <xf numFmtId="0" fontId="15" fillId="54" borderId="115" xfId="0" applyFont="1" applyFill="1" applyBorder="1" applyAlignment="1">
      <alignment horizontal="center" vertical="center" wrapText="1"/>
    </xf>
    <xf numFmtId="0" fontId="15" fillId="54" borderId="116" xfId="0" applyFont="1" applyFill="1" applyBorder="1" applyAlignment="1">
      <alignment horizontal="center" vertical="center" wrapText="1"/>
    </xf>
    <xf numFmtId="0" fontId="15" fillId="54" borderId="77" xfId="0" applyFont="1" applyFill="1" applyBorder="1" applyAlignment="1">
      <alignment horizontal="center" vertical="center" wrapText="1"/>
    </xf>
    <xf numFmtId="0" fontId="15" fillId="54" borderId="117"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0" fontId="19" fillId="0" borderId="39" xfId="0" applyFont="1" applyBorder="1" applyAlignment="1" applyProtection="1">
      <alignment horizontal="left"/>
      <protection hidden="1"/>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0" fillId="0" borderId="51" xfId="95" applyNumberFormat="1" applyFont="1" applyFill="1" applyBorder="1" applyAlignment="1" applyProtection="1">
      <alignment horizontal="center" vertical="center"/>
      <protection/>
    </xf>
    <xf numFmtId="0" fontId="15" fillId="54" borderId="113" xfId="0" applyFont="1" applyFill="1" applyBorder="1" applyAlignment="1">
      <alignment horizontal="center" vertical="center" wrapText="1"/>
    </xf>
    <xf numFmtId="0" fontId="28" fillId="54" borderId="119" xfId="0" applyFont="1" applyFill="1" applyBorder="1" applyAlignment="1">
      <alignment horizontal="center" vertical="center" wrapText="1"/>
    </xf>
    <xf numFmtId="0" fontId="15" fillId="54" borderId="120" xfId="0" applyFont="1" applyFill="1" applyBorder="1" applyAlignment="1">
      <alignment horizontal="center" vertical="center" wrapText="1"/>
    </xf>
    <xf numFmtId="0" fontId="18" fillId="0" borderId="51" xfId="95" applyNumberFormat="1" applyFont="1" applyFill="1" applyBorder="1" applyAlignment="1" applyProtection="1">
      <alignment horizontal="left" vertical="center"/>
      <protection/>
    </xf>
    <xf numFmtId="0" fontId="33" fillId="0" borderId="121" xfId="95" applyNumberFormat="1" applyFont="1" applyFill="1" applyBorder="1" applyAlignment="1" applyProtection="1">
      <alignment horizontal="left" vertical="center" wrapText="1"/>
      <protection/>
    </xf>
    <xf numFmtId="0" fontId="33" fillId="0" borderId="122" xfId="95" applyNumberFormat="1" applyFont="1" applyFill="1" applyBorder="1" applyAlignment="1" applyProtection="1">
      <alignment horizontal="left" vertical="center" wrapText="1"/>
      <protection/>
    </xf>
    <xf numFmtId="0" fontId="33" fillId="0" borderId="50" xfId="95" applyNumberFormat="1" applyFont="1" applyFill="1" applyBorder="1" applyAlignment="1" applyProtection="1">
      <alignment horizontal="left" vertical="center" wrapText="1"/>
      <protection/>
    </xf>
    <xf numFmtId="0" fontId="18" fillId="0" borderId="0" xfId="95" applyFont="1" applyFill="1" applyBorder="1" applyAlignment="1" applyProtection="1">
      <alignment horizontal="left" vertical="center"/>
      <protection/>
    </xf>
    <xf numFmtId="0" fontId="53" fillId="0" borderId="51" xfId="94" applyNumberFormat="1" applyFont="1" applyBorder="1" applyAlignment="1" applyProtection="1">
      <alignment horizontal="left" vertical="center"/>
      <protection/>
    </xf>
    <xf numFmtId="0" fontId="53" fillId="0" borderId="0" xfId="94" applyNumberFormat="1" applyFont="1" applyBorder="1" applyAlignment="1" applyProtection="1">
      <alignment horizontal="left" vertical="center"/>
      <protection/>
    </xf>
    <xf numFmtId="0" fontId="18" fillId="0" borderId="123" xfId="95" applyNumberFormat="1" applyFont="1" applyFill="1" applyBorder="1" applyAlignment="1" applyProtection="1">
      <alignment horizontal="left" vertical="center"/>
      <protection/>
    </xf>
    <xf numFmtId="0" fontId="53" fillId="0" borderId="123" xfId="94" applyNumberFormat="1" applyFont="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0" fontId="33" fillId="0" borderId="124" xfId="0" applyNumberFormat="1" applyFont="1" applyFill="1" applyBorder="1" applyAlignment="1" applyProtection="1">
      <alignment horizontal="left" vertical="center" wrapText="1"/>
      <protection/>
    </xf>
    <xf numFmtId="0" fontId="33" fillId="0" borderId="125" xfId="0" applyNumberFormat="1" applyFont="1" applyFill="1" applyBorder="1" applyAlignment="1" applyProtection="1">
      <alignment horizontal="left" vertical="center" wrapText="1"/>
      <protection/>
    </xf>
    <xf numFmtId="0" fontId="18" fillId="0" borderId="0" xfId="95" applyNumberFormat="1" applyFont="1" applyFill="1" applyBorder="1" applyAlignment="1" applyProtection="1">
      <alignment horizontal="left" vertical="center"/>
      <protection/>
    </xf>
    <xf numFmtId="0" fontId="16" fillId="54" borderId="79" xfId="0" applyFont="1" applyFill="1" applyBorder="1" applyAlignment="1">
      <alignment horizontal="center" vertical="center" wrapText="1"/>
    </xf>
    <xf numFmtId="0" fontId="15"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59" fillId="0" borderId="0" xfId="101"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8" xfId="0" applyFont="1" applyFill="1" applyBorder="1" applyAlignment="1" applyProtection="1">
      <alignment horizontal="center" vertical="center" wrapText="1"/>
      <protection hidden="1"/>
    </xf>
    <xf numFmtId="0" fontId="65" fillId="0" borderId="74" xfId="0" applyFont="1" applyFill="1" applyBorder="1" applyAlignment="1" applyProtection="1">
      <alignment horizontal="center" vertical="center" wrapText="1"/>
      <protection hidden="1"/>
    </xf>
    <xf numFmtId="0" fontId="10" fillId="38" borderId="128" xfId="0" applyFont="1" applyFill="1" applyBorder="1" applyAlignment="1" applyProtection="1">
      <alignment horizontal="center" vertical="center" wrapText="1"/>
      <protection hidden="1"/>
    </xf>
    <xf numFmtId="0" fontId="62" fillId="38" borderId="74" xfId="0" applyFont="1" applyFill="1" applyBorder="1" applyAlignment="1" applyProtection="1">
      <alignment horizontal="center" vertical="center" wrapText="1"/>
      <protection hidden="1"/>
    </xf>
    <xf numFmtId="0" fontId="16" fillId="61" borderId="79" xfId="92"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29" xfId="0" applyFont="1" applyFill="1" applyBorder="1" applyAlignment="1">
      <alignment horizontal="left" vertical="center"/>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130" xfId="0" applyNumberFormat="1" applyFont="1" applyFill="1" applyBorder="1" applyAlignment="1" applyProtection="1">
      <alignment horizontal="left" vertical="center" shrinkToFit="1"/>
      <protection/>
    </xf>
    <xf numFmtId="0" fontId="33" fillId="0" borderId="131" xfId="0" applyNumberFormat="1" applyFont="1" applyFill="1" applyBorder="1" applyAlignment="1" applyProtection="1">
      <alignment horizontal="left" vertical="center" shrinkToFit="1"/>
      <protection/>
    </xf>
    <xf numFmtId="0" fontId="33" fillId="0" borderId="49" xfId="0" applyNumberFormat="1" applyFont="1" applyFill="1" applyBorder="1" applyAlignment="1" applyProtection="1">
      <alignment horizontal="left" vertical="center" shrinkToFit="1"/>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7" fillId="38" borderId="79" xfId="92" applyFont="1" applyFill="1" applyBorder="1" applyAlignment="1">
      <alignment horizontal="center" vertical="center"/>
      <protection/>
    </xf>
    <xf numFmtId="0" fontId="5" fillId="38" borderId="126"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33" fillId="58" borderId="124" xfId="0" applyNumberFormat="1" applyFont="1" applyFill="1" applyBorder="1" applyAlignment="1" applyProtection="1">
      <alignment horizontal="left" vertical="center" wrapText="1"/>
      <protection/>
    </xf>
    <xf numFmtId="0" fontId="33" fillId="58" borderId="110" xfId="0" applyNumberFormat="1" applyFont="1" applyFill="1" applyBorder="1" applyAlignment="1" applyProtection="1">
      <alignment horizontal="left" vertical="center" wrapText="1"/>
      <protection/>
    </xf>
    <xf numFmtId="49" fontId="33" fillId="0" borderId="130" xfId="98" applyNumberFormat="1" applyFont="1" applyFill="1" applyBorder="1" applyAlignment="1" applyProtection="1">
      <alignment horizontal="left" vertical="center" wrapText="1"/>
      <protection hidden="1"/>
    </xf>
    <xf numFmtId="0" fontId="64" fillId="0" borderId="131" xfId="98" applyFont="1" applyBorder="1" applyAlignment="1">
      <alignment horizontal="left" vertical="center" wrapText="1"/>
      <protection/>
    </xf>
    <xf numFmtId="0" fontId="16" fillId="61" borderId="77" xfId="92"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4" fillId="0" borderId="137" xfId="98" applyFont="1" applyBorder="1" applyAlignment="1">
      <alignment horizontal="left" vertical="center" wrapText="1"/>
      <protection/>
    </xf>
    <xf numFmtId="49" fontId="54" fillId="0" borderId="130" xfId="98" applyNumberFormat="1" applyFont="1" applyFill="1" applyBorder="1" applyAlignment="1" applyProtection="1">
      <alignment horizontal="left" vertical="center" wrapText="1"/>
      <protection hidden="1"/>
    </xf>
    <xf numFmtId="0" fontId="5" fillId="0" borderId="131" xfId="98" applyFont="1" applyBorder="1" applyAlignment="1">
      <alignment horizontal="left" vertical="center" wrapText="1"/>
      <protection/>
    </xf>
    <xf numFmtId="49" fontId="33" fillId="0" borderId="121" xfId="98" applyNumberFormat="1" applyFont="1" applyFill="1" applyBorder="1" applyAlignment="1" applyProtection="1">
      <alignment horizontal="left" vertical="center" wrapText="1"/>
      <protection hidden="1"/>
    </xf>
    <xf numFmtId="0" fontId="64" fillId="0" borderId="122" xfId="98" applyFont="1" applyBorder="1" applyAlignment="1">
      <alignment horizontal="left" vertical="center" wrapText="1"/>
      <protection/>
    </xf>
    <xf numFmtId="49" fontId="0" fillId="0" borderId="130" xfId="98" applyNumberFormat="1" applyFont="1" applyFill="1" applyBorder="1" applyAlignment="1" applyProtection="1">
      <alignment horizontal="left" vertical="center" shrinkToFit="1"/>
      <protection hidden="1"/>
    </xf>
    <xf numFmtId="0" fontId="0" fillId="0" borderId="131" xfId="98" applyFont="1" applyBorder="1" applyAlignment="1">
      <alignment horizontal="left" vertical="center" shrinkToFit="1"/>
      <protection/>
    </xf>
    <xf numFmtId="49" fontId="54" fillId="0" borderId="136" xfId="98" applyNumberFormat="1" applyFont="1" applyFill="1" applyBorder="1" applyAlignment="1" applyProtection="1">
      <alignment horizontal="left" vertical="center" wrapText="1"/>
      <protection hidden="1"/>
    </xf>
    <xf numFmtId="0" fontId="5" fillId="0" borderId="137" xfId="98" applyFont="1" applyBorder="1" applyAlignment="1">
      <alignment horizontal="left" vertical="center" wrapText="1"/>
      <protection/>
    </xf>
    <xf numFmtId="0" fontId="0" fillId="0" borderId="131" xfId="98" applyFont="1" applyBorder="1" applyAlignment="1">
      <alignment horizontal="left" vertical="center" wrapText="1"/>
      <protection/>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83"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81" xfId="0" applyFont="1" applyBorder="1" applyAlignment="1">
      <alignment horizontal="left" vertical="center" wrapText="1"/>
    </xf>
    <xf numFmtId="49" fontId="54" fillId="0" borderId="138" xfId="0" applyNumberFormat="1" applyFont="1" applyBorder="1" applyAlignment="1" applyProtection="1">
      <alignment horizontal="left" vertical="center" wrapText="1"/>
      <protection/>
    </xf>
    <xf numFmtId="0" fontId="54" fillId="0" borderId="138" xfId="0" applyFont="1" applyBorder="1" applyAlignment="1">
      <alignment horizontal="left" vertical="center" wrapText="1"/>
    </xf>
    <xf numFmtId="0" fontId="54" fillId="0" borderId="139" xfId="0" applyFont="1" applyBorder="1" applyAlignment="1">
      <alignment horizontal="left" vertical="center" wrapText="1"/>
    </xf>
    <xf numFmtId="49" fontId="54" fillId="0" borderId="140" xfId="0" applyNumberFormat="1" applyFont="1" applyBorder="1" applyAlignment="1" applyProtection="1">
      <alignment horizontal="left" vertical="center" wrapText="1"/>
      <protection/>
    </xf>
    <xf numFmtId="0" fontId="54" fillId="0" borderId="140" xfId="0" applyFont="1" applyBorder="1" applyAlignment="1">
      <alignment horizontal="left" vertical="center" wrapText="1"/>
    </xf>
    <xf numFmtId="0" fontId="54" fillId="0" borderId="141" xfId="0" applyFont="1" applyBorder="1" applyAlignment="1">
      <alignment horizontal="left" vertical="center" wrapText="1"/>
    </xf>
    <xf numFmtId="49" fontId="54" fillId="0" borderId="126" xfId="0" applyNumberFormat="1" applyFont="1" applyBorder="1" applyAlignment="1" applyProtection="1">
      <alignment horizontal="left" vertical="center" wrapText="1"/>
      <protection/>
    </xf>
    <xf numFmtId="0" fontId="54" fillId="0" borderId="126" xfId="0" applyFont="1" applyBorder="1" applyAlignment="1">
      <alignment horizontal="left" vertical="center" wrapText="1"/>
    </xf>
    <xf numFmtId="0" fontId="54" fillId="0" borderId="129" xfId="0" applyFont="1" applyBorder="1" applyAlignment="1">
      <alignment horizontal="left" vertical="center" wrapText="1"/>
    </xf>
    <xf numFmtId="49" fontId="54" fillId="0" borderId="117" xfId="0" applyNumberFormat="1" applyFont="1" applyBorder="1" applyAlignment="1" applyProtection="1">
      <alignment horizontal="left" vertical="center" wrapText="1"/>
      <protection/>
    </xf>
    <xf numFmtId="0" fontId="54" fillId="0" borderId="117" xfId="0" applyFont="1" applyBorder="1" applyAlignment="1">
      <alignment horizontal="left" vertical="center" wrapText="1"/>
    </xf>
    <xf numFmtId="0" fontId="54" fillId="0" borderId="135"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50" xfId="0" applyFont="1" applyBorder="1" applyAlignment="1">
      <alignment horizontal="left" vertical="center" wrapText="1"/>
    </xf>
    <xf numFmtId="0" fontId="33" fillId="0" borderId="49" xfId="0" applyFont="1" applyBorder="1" applyAlignment="1">
      <alignment horizontal="left" vertical="center" wrapText="1"/>
    </xf>
    <xf numFmtId="49" fontId="33" fillId="59" borderId="131" xfId="0" applyNumberFormat="1" applyFont="1" applyFill="1" applyBorder="1" applyAlignment="1" applyProtection="1">
      <alignment horizontal="left" vertical="center" wrapText="1"/>
      <protection/>
    </xf>
    <xf numFmtId="0" fontId="33" fillId="59" borderId="131" xfId="0" applyFont="1" applyFill="1" applyBorder="1" applyAlignment="1">
      <alignment horizontal="left" vertical="center" wrapText="1"/>
    </xf>
    <xf numFmtId="0" fontId="33" fillId="59" borderId="49" xfId="0" applyFont="1" applyFill="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08" xfId="0" applyFont="1" applyFill="1" applyBorder="1" applyAlignment="1">
      <alignment vertical="center" wrapText="1"/>
    </xf>
    <xf numFmtId="0" fontId="33" fillId="0" borderId="23" xfId="0" applyFont="1" applyFill="1" applyBorder="1" applyAlignment="1">
      <alignment vertical="center" wrapText="1"/>
    </xf>
    <xf numFmtId="0" fontId="33" fillId="0" borderId="109"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08" xfId="0" applyFont="1" applyFill="1" applyBorder="1" applyAlignment="1">
      <alignment vertical="center" shrinkToFit="1"/>
    </xf>
    <xf numFmtId="0" fontId="33" fillId="0" borderId="23" xfId="0" applyFont="1" applyFill="1" applyBorder="1" applyAlignment="1">
      <alignment vertical="center" shrinkToFit="1"/>
    </xf>
    <xf numFmtId="0" fontId="5" fillId="38"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09"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69" fillId="54" borderId="87" xfId="0" applyFont="1" applyFill="1" applyBorder="1" applyAlignment="1" applyProtection="1">
      <alignment horizontal="left" vertical="center" wrapText="1"/>
      <protection hidden="1"/>
    </xf>
    <xf numFmtId="0" fontId="0" fillId="0" borderId="87" xfId="0" applyBorder="1" applyAlignment="1">
      <alignment wrapText="1"/>
    </xf>
    <xf numFmtId="0" fontId="0" fillId="0" borderId="73" xfId="0" applyBorder="1" applyAlignment="1">
      <alignment wrapText="1"/>
    </xf>
    <xf numFmtId="0" fontId="72" fillId="0" borderId="20" xfId="0" applyFont="1" applyFill="1" applyBorder="1" applyAlignment="1" applyProtection="1">
      <alignment vertical="center" wrapText="1"/>
      <protection hidden="1"/>
    </xf>
    <xf numFmtId="0" fontId="72" fillId="0" borderId="20" xfId="0" applyFont="1" applyBorder="1" applyAlignment="1" applyProtection="1">
      <alignment vertical="center" wrapText="1"/>
      <protection hidden="1"/>
    </xf>
    <xf numFmtId="0" fontId="72" fillId="0" borderId="72" xfId="0" applyFont="1" applyFill="1" applyBorder="1" applyAlignment="1" applyProtection="1">
      <alignment vertical="center" wrapText="1"/>
      <protection hidden="1"/>
    </xf>
    <xf numFmtId="0" fontId="72" fillId="0" borderId="87" xfId="0" applyFont="1" applyFill="1" applyBorder="1" applyAlignment="1" applyProtection="1">
      <alignment vertical="center" wrapText="1"/>
      <protection hidden="1"/>
    </xf>
    <xf numFmtId="0" fontId="72" fillId="0" borderId="73" xfId="0" applyFont="1" applyFill="1" applyBorder="1" applyAlignment="1" applyProtection="1">
      <alignment vertical="center" wrapText="1"/>
      <protection hidden="1"/>
    </xf>
    <xf numFmtId="0" fontId="53" fillId="0" borderId="72" xfId="0" applyFont="1" applyFill="1" applyBorder="1" applyAlignment="1" applyProtection="1">
      <alignment vertical="center" wrapText="1"/>
      <protection hidden="1"/>
    </xf>
    <xf numFmtId="0" fontId="56" fillId="56" borderId="67" xfId="0" applyFont="1" applyFill="1" applyBorder="1" applyAlignment="1" applyProtection="1">
      <alignment horizontal="center" vertical="center" wrapText="1"/>
      <protection hidden="1"/>
    </xf>
    <xf numFmtId="0" fontId="0" fillId="0" borderId="65" xfId="0" applyBorder="1" applyAlignment="1">
      <alignment/>
    </xf>
    <xf numFmtId="0" fontId="57" fillId="39" borderId="72" xfId="0" applyFont="1" applyFill="1" applyBorder="1" applyAlignment="1" applyProtection="1">
      <alignment horizontal="center" vertical="center" wrapText="1"/>
      <protection hidden="1"/>
    </xf>
    <xf numFmtId="0" fontId="76" fillId="39" borderId="87" xfId="0" applyFont="1" applyFill="1" applyBorder="1" applyAlignment="1" applyProtection="1">
      <alignment horizontal="center" vertical="center" wrapText="1"/>
      <protection hidden="1"/>
    </xf>
    <xf numFmtId="0" fontId="76" fillId="39" borderId="73" xfId="0" applyFont="1" applyFill="1" applyBorder="1" applyAlignment="1" applyProtection="1">
      <alignment horizontal="center" vertical="center" wrapText="1"/>
      <protection hidden="1"/>
    </xf>
    <xf numFmtId="0" fontId="53" fillId="0" borderId="20" xfId="0" applyFont="1" applyFill="1" applyBorder="1" applyAlignment="1" applyProtection="1">
      <alignment vertical="center" wrapText="1"/>
      <protection hidden="1"/>
    </xf>
    <xf numFmtId="0" fontId="22" fillId="54" borderId="100"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69" fillId="54" borderId="72" xfId="0" applyFont="1" applyFill="1" applyBorder="1" applyAlignment="1" applyProtection="1">
      <alignment horizontal="left" vertical="center" wrapText="1"/>
      <protection hidden="1"/>
    </xf>
    <xf numFmtId="0" fontId="70" fillId="54" borderId="87" xfId="0" applyFont="1" applyFill="1" applyBorder="1" applyAlignment="1" applyProtection="1">
      <alignment horizontal="left" vertical="center" wrapText="1"/>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20" fillId="50" borderId="72" xfId="93" applyFont="1" applyFill="1" applyBorder="1" applyAlignment="1" applyProtection="1">
      <alignment horizontal="left" vertical="center" wrapText="1"/>
      <protection hidden="1"/>
    </xf>
    <xf numFmtId="0" fontId="19" fillId="50" borderId="87" xfId="0" applyFont="1" applyFill="1" applyBorder="1" applyAlignment="1" applyProtection="1">
      <alignment horizontal="left" vertical="center" wrapText="1"/>
      <protection hidden="1"/>
    </xf>
    <xf numFmtId="0" fontId="19" fillId="50" borderId="73" xfId="0" applyFont="1" applyFill="1" applyBorder="1" applyAlignment="1" applyProtection="1">
      <alignment horizontal="left" vertical="center" wrapText="1"/>
      <protection hidden="1"/>
    </xf>
    <xf numFmtId="0" fontId="3"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51"/>
      <c r="L2" s="451"/>
    </row>
    <row r="3" spans="2:12" s="27" customFormat="1" ht="30" customHeight="1" thickBot="1">
      <c r="B3" s="457" t="s">
        <v>2944</v>
      </c>
      <c r="C3" s="458"/>
      <c r="D3" s="128"/>
      <c r="E3" s="128"/>
      <c r="F3" s="104"/>
      <c r="G3" s="104"/>
      <c r="H3" s="104"/>
      <c r="I3" s="104"/>
      <c r="J3" s="104"/>
      <c r="K3" s="459" t="s">
        <v>1304</v>
      </c>
      <c r="L3" s="460"/>
    </row>
    <row r="4" spans="2:12" s="27" customFormat="1" ht="30" customHeight="1">
      <c r="B4" s="452" t="s">
        <v>1305</v>
      </c>
      <c r="C4" s="527"/>
      <c r="D4" s="527"/>
      <c r="E4" s="527"/>
      <c r="F4" s="527"/>
      <c r="G4" s="527"/>
      <c r="H4" s="527"/>
      <c r="I4" s="527"/>
      <c r="J4" s="527"/>
      <c r="K4" s="528"/>
      <c r="L4" s="528"/>
    </row>
    <row r="5" spans="2:12" s="27" customFormat="1" ht="30" customHeight="1">
      <c r="B5" s="529" t="s">
        <v>1306</v>
      </c>
      <c r="C5" s="530"/>
      <c r="D5" s="530"/>
      <c r="E5" s="530"/>
      <c r="F5" s="530"/>
      <c r="G5" s="530"/>
      <c r="H5" s="530"/>
      <c r="I5" s="530"/>
      <c r="J5" s="531"/>
      <c r="K5" s="532"/>
      <c r="L5" s="532"/>
    </row>
    <row r="6" spans="2:16" s="30" customFormat="1" ht="19.5" customHeight="1">
      <c r="B6" s="456" t="str">
        <f>IF(OR(RefStr!J15="",RefStr!J19=""),P7,IF(RefStr!P4=1,"za razdoblje "&amp;TEXT(RefStr!E5,"dd.MM.YYYY.")&amp;" do "&amp;TEXT(RefStr!G5,"dd.MM.YYYY."),P6))</f>
        <v>- ne popunjava se za odabrano razdoblje -</v>
      </c>
      <c r="C6" s="455"/>
      <c r="D6" s="455"/>
      <c r="E6" s="455"/>
      <c r="F6" s="455"/>
      <c r="G6" s="455"/>
      <c r="H6" s="455"/>
      <c r="I6" s="455"/>
      <c r="J6" s="455"/>
      <c r="K6" s="455"/>
      <c r="L6" s="455"/>
      <c r="P6" s="241" t="s">
        <v>2118</v>
      </c>
    </row>
    <row r="7" spans="2:16" s="114" customFormat="1" ht="18" customHeight="1" thickBot="1">
      <c r="B7" s="406" t="s">
        <v>1143</v>
      </c>
      <c r="C7" s="425"/>
      <c r="D7" s="426">
        <f>IF(RefStr!P4=1,IF(RefStr!C7&lt;&gt;"",RefStr!C7,""),"")</f>
      </c>
      <c r="E7" s="427"/>
      <c r="F7" s="427"/>
      <c r="G7" s="427"/>
      <c r="H7" s="427"/>
      <c r="I7" s="427"/>
      <c r="J7" s="427"/>
      <c r="K7" s="427"/>
      <c r="L7" s="427"/>
      <c r="P7" s="27" t="s">
        <v>2862</v>
      </c>
    </row>
    <row r="8" spans="2:12" s="114" customFormat="1" ht="18" customHeight="1" thickBot="1">
      <c r="B8" s="406" t="s">
        <v>2232</v>
      </c>
      <c r="C8" s="406"/>
      <c r="D8" s="208">
        <f>IF(RefStr!P4=1,IF(RefStr!C9&lt;&gt;"",RefStr!C9,""),"")</f>
      </c>
      <c r="E8" s="117"/>
      <c r="F8" s="124" t="s">
        <v>2140</v>
      </c>
      <c r="G8" s="403">
        <f>IF(RefStr!P4=1,IF(RefStr!E9&lt;&gt;"",RefStr!E9,""),"")</f>
      </c>
      <c r="H8" s="428"/>
      <c r="I8" s="428"/>
      <c r="J8" s="428"/>
      <c r="K8" s="428"/>
      <c r="L8" s="428"/>
    </row>
    <row r="9" spans="2:12" s="114" customFormat="1" ht="18" customHeight="1" thickBot="1">
      <c r="B9" s="406" t="s">
        <v>2235</v>
      </c>
      <c r="C9" s="406"/>
      <c r="D9" s="403">
        <f>IF(RefStr!P4=1,IF(RefStr!C11&lt;&gt;"",RefStr!C11,""),"")</f>
      </c>
      <c r="E9" s="403"/>
      <c r="F9" s="403"/>
      <c r="G9" s="403"/>
      <c r="H9" s="403"/>
      <c r="I9" s="403"/>
      <c r="J9" s="403"/>
      <c r="K9" s="403"/>
      <c r="L9" s="403"/>
    </row>
    <row r="10" spans="2:12" s="114" customFormat="1" ht="18" customHeight="1" thickBot="1">
      <c r="B10" s="406" t="s">
        <v>1032</v>
      </c>
      <c r="C10" s="406" t="s">
        <v>2303</v>
      </c>
      <c r="D10" s="429">
        <f>IF(RefStr!P4=1,IF(RefStr!C13&lt;&gt;"",RefStr!C13,""),"")</f>
      </c>
      <c r="E10" s="430"/>
      <c r="F10" s="430"/>
      <c r="G10" s="118"/>
      <c r="H10" s="118"/>
      <c r="I10" s="132"/>
      <c r="J10" s="124" t="s">
        <v>2138</v>
      </c>
      <c r="K10" s="204">
        <f>IF(RefStr!P4=1,IF(RefStr!J9&lt;&gt;"",RefStr!J9,""),"")</f>
      </c>
      <c r="L10" s="132"/>
    </row>
    <row r="11" spans="2:12" s="114" customFormat="1" ht="18" customHeight="1" thickBot="1">
      <c r="B11" s="404" t="s">
        <v>2237</v>
      </c>
      <c r="C11" s="405"/>
      <c r="D11" s="116">
        <f>IF(RefStr!P4=1,IF(RefStr!C15&lt;&gt;"",RefStr!C15,""),"")</f>
      </c>
      <c r="E11" s="209" t="str">
        <f>IF(RefStr!D15&lt;&gt;"",RefStr!D15,"")</f>
        <v>Djelatnosti ostalih članskih organizacija, d. n.</v>
      </c>
      <c r="F11" s="119"/>
      <c r="G11" s="132"/>
      <c r="H11" s="132"/>
      <c r="I11" s="133"/>
      <c r="J11" s="186" t="s">
        <v>716</v>
      </c>
      <c r="K11" s="203">
        <f>IF(RefStr!P4=1,IF(RefStr!J11&lt;&gt;"",RefStr!J11,""),"")</f>
      </c>
      <c r="L11" s="132"/>
    </row>
    <row r="12" spans="2:12" s="114" customFormat="1" ht="18" customHeight="1" thickBot="1">
      <c r="B12" s="406" t="s">
        <v>2305</v>
      </c>
      <c r="C12" s="405"/>
      <c r="D12" s="120">
        <f>IF(RefStr!P4=1,IF(RefStr!C17&lt;&gt;"",RefStr!C17,""),"")</f>
      </c>
      <c r="E12" s="210" t="str">
        <f>IF(RefStr!D17&lt;&gt;"",RefStr!D17,"")</f>
        <v>Grad/općina: GRAD ZAGREB</v>
      </c>
      <c r="F12" s="121"/>
      <c r="G12" s="118"/>
      <c r="H12" s="118"/>
      <c r="I12" s="122"/>
      <c r="J12" s="186" t="s">
        <v>2139</v>
      </c>
      <c r="K12" s="410">
        <f>IF(RefStr!P4=1,IF(RefStr!J13&lt;&gt;"",RefStr!J13,""),"")</f>
      </c>
      <c r="L12" s="411"/>
    </row>
    <row r="13" spans="2:12" s="114" customFormat="1" ht="18" customHeight="1" thickBot="1">
      <c r="B13" s="132"/>
      <c r="C13" s="123"/>
      <c r="D13" s="239"/>
      <c r="E13" s="240"/>
      <c r="F13" s="240"/>
      <c r="G13" s="240"/>
      <c r="H13" s="240"/>
      <c r="I13" s="404" t="s">
        <v>2304</v>
      </c>
      <c r="J13" s="405"/>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70" t="str">
        <f>"Verzija Excel datoteke: "&amp;MID(PraviPod707!G30,1,1)&amp;"."&amp;MID(PraviPod707!G30,2,1)&amp;"."&amp;MID(PraviPod707!G30,3,1)&amp;"."</f>
        <v>Verzija Excel datoteke: 6.0.6.</v>
      </c>
      <c r="C15" s="526"/>
      <c r="D15" s="526"/>
      <c r="F15" s="37"/>
      <c r="G15" s="40"/>
      <c r="H15" s="40"/>
      <c r="I15" s="41"/>
      <c r="J15" s="41"/>
      <c r="K15" s="38"/>
      <c r="L15" s="275" t="s">
        <v>1475</v>
      </c>
    </row>
    <row r="16" spans="2:12" s="27" customFormat="1" ht="34.5" customHeight="1">
      <c r="B16" s="86" t="s">
        <v>360</v>
      </c>
      <c r="C16" s="464" t="s">
        <v>2234</v>
      </c>
      <c r="D16" s="464"/>
      <c r="E16" s="464"/>
      <c r="F16" s="464"/>
      <c r="G16" s="465"/>
      <c r="H16" s="465"/>
      <c r="I16" s="82" t="s">
        <v>2233</v>
      </c>
      <c r="J16" s="83" t="s">
        <v>2314</v>
      </c>
      <c r="K16" s="84" t="s">
        <v>2315</v>
      </c>
      <c r="L16" s="85" t="s">
        <v>1991</v>
      </c>
    </row>
    <row r="17" spans="2:12" s="27" customFormat="1" ht="12" customHeight="1">
      <c r="B17" s="71">
        <v>1</v>
      </c>
      <c r="C17" s="475">
        <v>2</v>
      </c>
      <c r="D17" s="476"/>
      <c r="E17" s="476"/>
      <c r="F17" s="476"/>
      <c r="G17" s="476"/>
      <c r="H17" s="476"/>
      <c r="I17" s="72">
        <v>3</v>
      </c>
      <c r="J17" s="72">
        <v>4</v>
      </c>
      <c r="K17" s="71">
        <v>5</v>
      </c>
      <c r="L17" s="71">
        <v>6</v>
      </c>
    </row>
    <row r="18" spans="2:12" s="27" customFormat="1" ht="15" customHeight="1">
      <c r="B18" s="461" t="s">
        <v>1307</v>
      </c>
      <c r="C18" s="462" t="s">
        <v>1994</v>
      </c>
      <c r="D18" s="462"/>
      <c r="E18" s="462"/>
      <c r="F18" s="462"/>
      <c r="G18" s="462"/>
      <c r="H18" s="462"/>
      <c r="I18" s="462"/>
      <c r="J18" s="462"/>
      <c r="K18" s="462"/>
      <c r="L18" s="463"/>
    </row>
    <row r="19" spans="2:17" s="27" customFormat="1" ht="12.75">
      <c r="B19" s="176" t="s">
        <v>1995</v>
      </c>
      <c r="C19" s="499" t="s">
        <v>1996</v>
      </c>
      <c r="D19" s="500"/>
      <c r="E19" s="500"/>
      <c r="F19" s="500"/>
      <c r="G19" s="500"/>
      <c r="H19" s="501"/>
      <c r="I19" s="172">
        <v>1</v>
      </c>
      <c r="J19" s="276"/>
      <c r="K19" s="276"/>
      <c r="L19" s="165" t="str">
        <f aca="true" t="shared" si="0" ref="L19:L60">IF(J19&gt;0,IF(K19/J19&gt;=100,"&gt;&gt;100",K19/J19*100),"-")</f>
        <v>-</v>
      </c>
      <c r="M19" s="93"/>
      <c r="N19" s="33"/>
      <c r="P19" s="34"/>
      <c r="Q19" s="28"/>
    </row>
    <row r="20" spans="2:17" s="27" customFormat="1" ht="12.75">
      <c r="B20" s="177" t="s">
        <v>1997</v>
      </c>
      <c r="C20" s="496" t="s">
        <v>1998</v>
      </c>
      <c r="D20" s="497"/>
      <c r="E20" s="497"/>
      <c r="F20" s="497"/>
      <c r="G20" s="497"/>
      <c r="H20" s="498"/>
      <c r="I20" s="174">
        <v>2</v>
      </c>
      <c r="J20" s="277"/>
      <c r="K20" s="277"/>
      <c r="L20" s="166" t="str">
        <f t="shared" si="0"/>
        <v>-</v>
      </c>
      <c r="M20" s="93"/>
      <c r="N20" s="33"/>
      <c r="P20" s="34"/>
      <c r="Q20" s="28"/>
    </row>
    <row r="21" spans="2:17" s="27" customFormat="1" ht="12.75">
      <c r="B21" s="177" t="s">
        <v>1999</v>
      </c>
      <c r="C21" s="496" t="s">
        <v>1643</v>
      </c>
      <c r="D21" s="497"/>
      <c r="E21" s="497"/>
      <c r="F21" s="497"/>
      <c r="G21" s="497"/>
      <c r="H21" s="498"/>
      <c r="I21" s="174">
        <v>3</v>
      </c>
      <c r="J21" s="277"/>
      <c r="K21" s="277"/>
      <c r="L21" s="166" t="str">
        <f t="shared" si="0"/>
        <v>-</v>
      </c>
      <c r="M21" s="93"/>
      <c r="N21" s="33"/>
      <c r="P21" s="34"/>
      <c r="Q21" s="28"/>
    </row>
    <row r="22" spans="2:17" s="27" customFormat="1" ht="12.75">
      <c r="B22" s="177" t="s">
        <v>1644</v>
      </c>
      <c r="C22" s="496" t="s">
        <v>361</v>
      </c>
      <c r="D22" s="497"/>
      <c r="E22" s="497"/>
      <c r="F22" s="497"/>
      <c r="G22" s="497"/>
      <c r="H22" s="498"/>
      <c r="I22" s="174">
        <v>4</v>
      </c>
      <c r="J22" s="278">
        <f>ROUND(SUM(J23:J28),2)</f>
        <v>0</v>
      </c>
      <c r="K22" s="278">
        <f>ROUND(SUM(K23:K28),2)</f>
        <v>0</v>
      </c>
      <c r="L22" s="166" t="str">
        <f t="shared" si="0"/>
        <v>-</v>
      </c>
      <c r="M22" s="93"/>
      <c r="N22" s="33"/>
      <c r="P22" s="34"/>
      <c r="Q22" s="28"/>
    </row>
    <row r="23" spans="2:17" s="27" customFormat="1" ht="12.75">
      <c r="B23" s="177" t="s">
        <v>1645</v>
      </c>
      <c r="C23" s="496" t="s">
        <v>1646</v>
      </c>
      <c r="D23" s="497"/>
      <c r="E23" s="497"/>
      <c r="F23" s="497"/>
      <c r="G23" s="497"/>
      <c r="H23" s="498"/>
      <c r="I23" s="174">
        <v>5</v>
      </c>
      <c r="J23" s="277"/>
      <c r="K23" s="277"/>
      <c r="L23" s="166" t="str">
        <f t="shared" si="0"/>
        <v>-</v>
      </c>
      <c r="M23" s="93"/>
      <c r="N23" s="33"/>
      <c r="P23" s="34"/>
      <c r="Q23" s="28"/>
    </row>
    <row r="24" spans="2:17" s="27" customFormat="1" ht="12.75">
      <c r="B24" s="177" t="s">
        <v>1647</v>
      </c>
      <c r="C24" s="496" t="s">
        <v>1648</v>
      </c>
      <c r="D24" s="497"/>
      <c r="E24" s="497"/>
      <c r="F24" s="497"/>
      <c r="G24" s="497"/>
      <c r="H24" s="498"/>
      <c r="I24" s="174">
        <v>6</v>
      </c>
      <c r="J24" s="277"/>
      <c r="K24" s="277"/>
      <c r="L24" s="166" t="str">
        <f t="shared" si="0"/>
        <v>-</v>
      </c>
      <c r="M24" s="93"/>
      <c r="N24" s="33"/>
      <c r="P24" s="34"/>
      <c r="Q24" s="28"/>
    </row>
    <row r="25" spans="2:17" s="27" customFormat="1" ht="12.75">
      <c r="B25" s="177" t="s">
        <v>1649</v>
      </c>
      <c r="C25" s="496" t="s">
        <v>1650</v>
      </c>
      <c r="D25" s="497"/>
      <c r="E25" s="497"/>
      <c r="F25" s="497"/>
      <c r="G25" s="497"/>
      <c r="H25" s="498"/>
      <c r="I25" s="174">
        <v>7</v>
      </c>
      <c r="J25" s="277"/>
      <c r="K25" s="277"/>
      <c r="L25" s="166" t="str">
        <f t="shared" si="0"/>
        <v>-</v>
      </c>
      <c r="M25" s="93"/>
      <c r="N25" s="33"/>
      <c r="P25" s="34"/>
      <c r="Q25" s="28"/>
    </row>
    <row r="26" spans="2:17" s="27" customFormat="1" ht="12.75">
      <c r="B26" s="177" t="s">
        <v>1651</v>
      </c>
      <c r="C26" s="496" t="s">
        <v>1652</v>
      </c>
      <c r="D26" s="497"/>
      <c r="E26" s="497"/>
      <c r="F26" s="497"/>
      <c r="G26" s="497"/>
      <c r="H26" s="498"/>
      <c r="I26" s="174">
        <v>8</v>
      </c>
      <c r="J26" s="277"/>
      <c r="K26" s="277"/>
      <c r="L26" s="166" t="str">
        <f t="shared" si="0"/>
        <v>-</v>
      </c>
      <c r="M26" s="93"/>
      <c r="N26" s="33"/>
      <c r="P26" s="34"/>
      <c r="Q26" s="28"/>
    </row>
    <row r="27" spans="2:17" s="27" customFormat="1" ht="12.75">
      <c r="B27" s="177" t="s">
        <v>1653</v>
      </c>
      <c r="C27" s="496" t="s">
        <v>1654</v>
      </c>
      <c r="D27" s="497"/>
      <c r="E27" s="497"/>
      <c r="F27" s="497"/>
      <c r="G27" s="497"/>
      <c r="H27" s="498"/>
      <c r="I27" s="174">
        <v>9</v>
      </c>
      <c r="J27" s="277"/>
      <c r="K27" s="277"/>
      <c r="L27" s="166" t="str">
        <f t="shared" si="0"/>
        <v>-</v>
      </c>
      <c r="M27" s="93"/>
      <c r="N27" s="33"/>
      <c r="P27" s="34"/>
      <c r="Q27" s="28"/>
    </row>
    <row r="28" spans="2:17" s="27" customFormat="1" ht="12.75">
      <c r="B28" s="177" t="s">
        <v>1655</v>
      </c>
      <c r="C28" s="496" t="s">
        <v>1656</v>
      </c>
      <c r="D28" s="497"/>
      <c r="E28" s="497"/>
      <c r="F28" s="497"/>
      <c r="G28" s="497"/>
      <c r="H28" s="498"/>
      <c r="I28" s="174">
        <v>10</v>
      </c>
      <c r="J28" s="277"/>
      <c r="K28" s="277"/>
      <c r="L28" s="166" t="str">
        <f t="shared" si="0"/>
        <v>-</v>
      </c>
      <c r="M28" s="93"/>
      <c r="N28" s="33"/>
      <c r="P28" s="34"/>
      <c r="Q28" s="28"/>
    </row>
    <row r="29" spans="2:17" s="27" customFormat="1" ht="12.75">
      <c r="B29" s="177" t="s">
        <v>1657</v>
      </c>
      <c r="C29" s="496" t="s">
        <v>1658</v>
      </c>
      <c r="D29" s="497"/>
      <c r="E29" s="497"/>
      <c r="F29" s="497"/>
      <c r="G29" s="497"/>
      <c r="H29" s="498"/>
      <c r="I29" s="174">
        <v>11</v>
      </c>
      <c r="J29" s="277"/>
      <c r="K29" s="277"/>
      <c r="L29" s="166" t="str">
        <f t="shared" si="0"/>
        <v>-</v>
      </c>
      <c r="M29" s="93"/>
      <c r="N29" s="33"/>
      <c r="P29" s="34"/>
      <c r="Q29" s="28"/>
    </row>
    <row r="30" spans="2:17" s="27" customFormat="1" ht="12.75">
      <c r="B30" s="177" t="s">
        <v>1659</v>
      </c>
      <c r="C30" s="496" t="s">
        <v>1660</v>
      </c>
      <c r="D30" s="497"/>
      <c r="E30" s="497"/>
      <c r="F30" s="497"/>
      <c r="G30" s="497"/>
      <c r="H30" s="498"/>
      <c r="I30" s="174">
        <v>12</v>
      </c>
      <c r="J30" s="277"/>
      <c r="K30" s="277"/>
      <c r="L30" s="166" t="str">
        <f t="shared" si="0"/>
        <v>-</v>
      </c>
      <c r="M30" s="93"/>
      <c r="N30" s="33"/>
      <c r="P30" s="34"/>
      <c r="Q30" s="28"/>
    </row>
    <row r="31" spans="2:17" s="27" customFormat="1" ht="12.75">
      <c r="B31" s="177" t="s">
        <v>1661</v>
      </c>
      <c r="C31" s="496" t="s">
        <v>1662</v>
      </c>
      <c r="D31" s="497"/>
      <c r="E31" s="497"/>
      <c r="F31" s="497"/>
      <c r="G31" s="497"/>
      <c r="H31" s="498"/>
      <c r="I31" s="174">
        <v>13</v>
      </c>
      <c r="J31" s="277"/>
      <c r="K31" s="277"/>
      <c r="L31" s="166" t="str">
        <f t="shared" si="0"/>
        <v>-</v>
      </c>
      <c r="M31" s="93"/>
      <c r="N31" s="33"/>
      <c r="P31" s="34"/>
      <c r="Q31" s="28"/>
    </row>
    <row r="32" spans="2:17" s="27" customFormat="1" ht="12.75">
      <c r="B32" s="177" t="s">
        <v>1663</v>
      </c>
      <c r="C32" s="496" t="s">
        <v>1557</v>
      </c>
      <c r="D32" s="497"/>
      <c r="E32" s="497"/>
      <c r="F32" s="497"/>
      <c r="G32" s="497"/>
      <c r="H32" s="498"/>
      <c r="I32" s="174">
        <v>14</v>
      </c>
      <c r="J32" s="277"/>
      <c r="K32" s="277"/>
      <c r="L32" s="166" t="str">
        <f t="shared" si="0"/>
        <v>-</v>
      </c>
      <c r="M32" s="93"/>
      <c r="N32" s="33"/>
      <c r="P32" s="34"/>
      <c r="Q32" s="28"/>
    </row>
    <row r="33" spans="2:17" s="27" customFormat="1" ht="12.75">
      <c r="B33" s="178"/>
      <c r="C33" s="502" t="s">
        <v>362</v>
      </c>
      <c r="D33" s="503"/>
      <c r="E33" s="503"/>
      <c r="F33" s="503"/>
      <c r="G33" s="503"/>
      <c r="H33" s="504"/>
      <c r="I33" s="179">
        <v>15</v>
      </c>
      <c r="J33" s="279">
        <f>ROUND(SUM(J19:J22)+SUM(J29:J32),2)</f>
        <v>0</v>
      </c>
      <c r="K33" s="279">
        <f>ROUND(SUM(K19:K22)+SUM(K29:K32),2)</f>
        <v>0</v>
      </c>
      <c r="L33" s="167" t="str">
        <f t="shared" si="0"/>
        <v>-</v>
      </c>
      <c r="M33" s="93"/>
      <c r="N33" s="33"/>
      <c r="P33" s="34"/>
      <c r="Q33" s="28"/>
    </row>
    <row r="34" spans="2:12" s="27" customFormat="1" ht="15" customHeight="1">
      <c r="B34" s="482" t="s">
        <v>1308</v>
      </c>
      <c r="C34" s="483" t="s">
        <v>1558</v>
      </c>
      <c r="D34" s="483"/>
      <c r="E34" s="483"/>
      <c r="F34" s="483"/>
      <c r="G34" s="483"/>
      <c r="H34" s="483"/>
      <c r="I34" s="483"/>
      <c r="J34" s="483"/>
      <c r="K34" s="483"/>
      <c r="L34" s="484"/>
    </row>
    <row r="35" spans="2:17" s="27" customFormat="1" ht="12.75">
      <c r="B35" s="176" t="s">
        <v>1995</v>
      </c>
      <c r="C35" s="499" t="s">
        <v>363</v>
      </c>
      <c r="D35" s="500"/>
      <c r="E35" s="500"/>
      <c r="F35" s="500"/>
      <c r="G35" s="500"/>
      <c r="H35" s="501"/>
      <c r="I35" s="172">
        <v>16</v>
      </c>
      <c r="J35" s="280">
        <f>ROUND(SUM(J36:J37),2)</f>
        <v>0</v>
      </c>
      <c r="K35" s="280">
        <f>ROUND(SUM(K36:K37),2)</f>
        <v>0</v>
      </c>
      <c r="L35" s="173" t="str">
        <f t="shared" si="0"/>
        <v>-</v>
      </c>
      <c r="M35" s="93"/>
      <c r="N35" s="33"/>
      <c r="P35" s="34"/>
      <c r="Q35" s="28"/>
    </row>
    <row r="36" spans="2:17" s="27" customFormat="1" ht="12.75">
      <c r="B36" s="177" t="s">
        <v>1559</v>
      </c>
      <c r="C36" s="496" t="s">
        <v>364</v>
      </c>
      <c r="D36" s="497"/>
      <c r="E36" s="497"/>
      <c r="F36" s="497"/>
      <c r="G36" s="497"/>
      <c r="H36" s="498"/>
      <c r="I36" s="174">
        <v>17</v>
      </c>
      <c r="J36" s="277"/>
      <c r="K36" s="277"/>
      <c r="L36" s="175" t="str">
        <f t="shared" si="0"/>
        <v>-</v>
      </c>
      <c r="M36" s="93"/>
      <c r="N36" s="33"/>
      <c r="P36" s="34"/>
      <c r="Q36" s="28"/>
    </row>
    <row r="37" spans="2:17" s="27" customFormat="1" ht="12.75">
      <c r="B37" s="177" t="s">
        <v>1560</v>
      </c>
      <c r="C37" s="496" t="s">
        <v>365</v>
      </c>
      <c r="D37" s="497"/>
      <c r="E37" s="497"/>
      <c r="F37" s="497"/>
      <c r="G37" s="497"/>
      <c r="H37" s="498"/>
      <c r="I37" s="174">
        <v>18</v>
      </c>
      <c r="J37" s="277"/>
      <c r="K37" s="277"/>
      <c r="L37" s="175" t="str">
        <f t="shared" si="0"/>
        <v>-</v>
      </c>
      <c r="M37" s="93"/>
      <c r="N37" s="33"/>
      <c r="P37" s="34"/>
      <c r="Q37" s="28"/>
    </row>
    <row r="38" spans="2:17" s="27" customFormat="1" ht="12.75">
      <c r="B38" s="177" t="s">
        <v>1997</v>
      </c>
      <c r="C38" s="496" t="s">
        <v>1561</v>
      </c>
      <c r="D38" s="497"/>
      <c r="E38" s="497"/>
      <c r="F38" s="497"/>
      <c r="G38" s="497"/>
      <c r="H38" s="498"/>
      <c r="I38" s="174">
        <v>19</v>
      </c>
      <c r="J38" s="277"/>
      <c r="K38" s="277"/>
      <c r="L38" s="175" t="str">
        <f t="shared" si="0"/>
        <v>-</v>
      </c>
      <c r="M38" s="93"/>
      <c r="N38" s="33"/>
      <c r="P38" s="34"/>
      <c r="Q38" s="28"/>
    </row>
    <row r="39" spans="2:17" s="27" customFormat="1" ht="12.75">
      <c r="B39" s="177" t="s">
        <v>1999</v>
      </c>
      <c r="C39" s="496" t="s">
        <v>1562</v>
      </c>
      <c r="D39" s="497"/>
      <c r="E39" s="497"/>
      <c r="F39" s="497"/>
      <c r="G39" s="497"/>
      <c r="H39" s="498"/>
      <c r="I39" s="174">
        <v>20</v>
      </c>
      <c r="J39" s="277"/>
      <c r="K39" s="277"/>
      <c r="L39" s="175" t="str">
        <f t="shared" si="0"/>
        <v>-</v>
      </c>
      <c r="M39" s="93"/>
      <c r="N39" s="33"/>
      <c r="P39" s="34"/>
      <c r="Q39" s="28"/>
    </row>
    <row r="40" spans="2:17" s="27" customFormat="1" ht="12.75">
      <c r="B40" s="177" t="s">
        <v>1644</v>
      </c>
      <c r="C40" s="496" t="s">
        <v>1563</v>
      </c>
      <c r="D40" s="497"/>
      <c r="E40" s="497"/>
      <c r="F40" s="497"/>
      <c r="G40" s="497"/>
      <c r="H40" s="498"/>
      <c r="I40" s="174">
        <v>21</v>
      </c>
      <c r="J40" s="277"/>
      <c r="K40" s="277"/>
      <c r="L40" s="175" t="str">
        <f t="shared" si="0"/>
        <v>-</v>
      </c>
      <c r="M40" s="93"/>
      <c r="N40" s="33"/>
      <c r="P40" s="34"/>
      <c r="Q40" s="28"/>
    </row>
    <row r="41" spans="2:17" s="27" customFormat="1" ht="12.75">
      <c r="B41" s="177" t="s">
        <v>1657</v>
      </c>
      <c r="C41" s="496" t="s">
        <v>1564</v>
      </c>
      <c r="D41" s="497"/>
      <c r="E41" s="497"/>
      <c r="F41" s="497"/>
      <c r="G41" s="497"/>
      <c r="H41" s="498"/>
      <c r="I41" s="174">
        <v>22</v>
      </c>
      <c r="J41" s="277"/>
      <c r="K41" s="277"/>
      <c r="L41" s="175" t="str">
        <f t="shared" si="0"/>
        <v>-</v>
      </c>
      <c r="M41" s="93"/>
      <c r="N41" s="33"/>
      <c r="P41" s="34"/>
      <c r="Q41" s="28"/>
    </row>
    <row r="42" spans="2:17" s="27" customFormat="1" ht="12.75">
      <c r="B42" s="177" t="s">
        <v>1659</v>
      </c>
      <c r="C42" s="496" t="s">
        <v>1565</v>
      </c>
      <c r="D42" s="497"/>
      <c r="E42" s="497"/>
      <c r="F42" s="497"/>
      <c r="G42" s="497"/>
      <c r="H42" s="498"/>
      <c r="I42" s="174">
        <v>23</v>
      </c>
      <c r="J42" s="277"/>
      <c r="K42" s="277"/>
      <c r="L42" s="175" t="str">
        <f t="shared" si="0"/>
        <v>-</v>
      </c>
      <c r="M42" s="93"/>
      <c r="N42" s="33"/>
      <c r="P42" s="34"/>
      <c r="Q42" s="28"/>
    </row>
    <row r="43" spans="2:17" s="27" customFormat="1" ht="12.75">
      <c r="B43" s="177" t="s">
        <v>1661</v>
      </c>
      <c r="C43" s="496" t="s">
        <v>1566</v>
      </c>
      <c r="D43" s="497"/>
      <c r="E43" s="497"/>
      <c r="F43" s="497"/>
      <c r="G43" s="497"/>
      <c r="H43" s="498"/>
      <c r="I43" s="174">
        <v>24</v>
      </c>
      <c r="J43" s="277"/>
      <c r="K43" s="277"/>
      <c r="L43" s="175" t="str">
        <f t="shared" si="0"/>
        <v>-</v>
      </c>
      <c r="M43" s="93"/>
      <c r="N43" s="33"/>
      <c r="P43" s="34"/>
      <c r="Q43" s="28"/>
    </row>
    <row r="44" spans="2:17" s="27" customFormat="1" ht="12.75">
      <c r="B44" s="177" t="s">
        <v>1218</v>
      </c>
      <c r="C44" s="496" t="s">
        <v>1219</v>
      </c>
      <c r="D44" s="497"/>
      <c r="E44" s="497"/>
      <c r="F44" s="497"/>
      <c r="G44" s="497"/>
      <c r="H44" s="498"/>
      <c r="I44" s="174">
        <v>25</v>
      </c>
      <c r="J44" s="277"/>
      <c r="K44" s="277"/>
      <c r="L44" s="175" t="str">
        <f t="shared" si="0"/>
        <v>-</v>
      </c>
      <c r="M44" s="93"/>
      <c r="N44" s="33"/>
      <c r="P44" s="34"/>
      <c r="Q44" s="28"/>
    </row>
    <row r="45" spans="2:17" s="27" customFormat="1" ht="12.75">
      <c r="B45" s="177" t="s">
        <v>1220</v>
      </c>
      <c r="C45" s="496" t="s">
        <v>1221</v>
      </c>
      <c r="D45" s="497"/>
      <c r="E45" s="497"/>
      <c r="F45" s="497"/>
      <c r="G45" s="497"/>
      <c r="H45" s="498"/>
      <c r="I45" s="174">
        <v>26</v>
      </c>
      <c r="J45" s="277"/>
      <c r="K45" s="277"/>
      <c r="L45" s="175" t="str">
        <f t="shared" si="0"/>
        <v>-</v>
      </c>
      <c r="M45" s="93"/>
      <c r="N45" s="33"/>
      <c r="P45" s="34"/>
      <c r="Q45" s="28"/>
    </row>
    <row r="46" spans="2:17" s="27" customFormat="1" ht="12.75">
      <c r="B46" s="177" t="s">
        <v>1222</v>
      </c>
      <c r="C46" s="496" t="s">
        <v>576</v>
      </c>
      <c r="D46" s="497"/>
      <c r="E46" s="497"/>
      <c r="F46" s="497"/>
      <c r="G46" s="497"/>
      <c r="H46" s="498"/>
      <c r="I46" s="174">
        <v>27</v>
      </c>
      <c r="J46" s="277"/>
      <c r="K46" s="277"/>
      <c r="L46" s="175" t="str">
        <f t="shared" si="0"/>
        <v>-</v>
      </c>
      <c r="M46" s="93"/>
      <c r="N46" s="33"/>
      <c r="P46" s="34"/>
      <c r="Q46" s="28"/>
    </row>
    <row r="47" spans="2:17" s="27" customFormat="1" ht="12.75">
      <c r="B47" s="229"/>
      <c r="C47" s="505" t="s">
        <v>2941</v>
      </c>
      <c r="D47" s="506"/>
      <c r="E47" s="506"/>
      <c r="F47" s="506"/>
      <c r="G47" s="506"/>
      <c r="H47" s="507"/>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08" t="s">
        <v>2942</v>
      </c>
      <c r="D48" s="509"/>
      <c r="E48" s="509"/>
      <c r="F48" s="509"/>
      <c r="G48" s="509"/>
      <c r="H48" s="510"/>
      <c r="I48" s="236">
        <v>29</v>
      </c>
      <c r="J48" s="282">
        <f>ROUND(J33-J47,2)</f>
        <v>0</v>
      </c>
      <c r="K48" s="282">
        <f>ROUND(K33-K47,2)</f>
        <v>0</v>
      </c>
      <c r="L48" s="237" t="str">
        <f t="shared" si="0"/>
        <v>-</v>
      </c>
      <c r="M48" s="93"/>
      <c r="N48" s="33"/>
      <c r="P48" s="34"/>
      <c r="Q48" s="28"/>
    </row>
    <row r="49" spans="2:17" s="27" customFormat="1" ht="12.75">
      <c r="B49" s="232" t="s">
        <v>578</v>
      </c>
      <c r="C49" s="511" t="s">
        <v>579</v>
      </c>
      <c r="D49" s="512"/>
      <c r="E49" s="512"/>
      <c r="F49" s="512"/>
      <c r="G49" s="512"/>
      <c r="H49" s="513"/>
      <c r="I49" s="233">
        <v>30</v>
      </c>
      <c r="J49" s="277"/>
      <c r="K49" s="279">
        <f>ROUND(SUM(J51:J53),2)</f>
        <v>0</v>
      </c>
      <c r="L49" s="234" t="str">
        <f t="shared" si="0"/>
        <v>-</v>
      </c>
      <c r="M49" s="93"/>
      <c r="N49" s="33"/>
      <c r="P49" s="34"/>
      <c r="Q49" s="28"/>
    </row>
    <row r="50" spans="2:12" s="27" customFormat="1" ht="34.5" customHeight="1">
      <c r="B50" s="94" t="s">
        <v>360</v>
      </c>
      <c r="C50" s="514" t="s">
        <v>2244</v>
      </c>
      <c r="D50" s="514"/>
      <c r="E50" s="514"/>
      <c r="F50" s="514"/>
      <c r="G50" s="515"/>
      <c r="H50" s="515"/>
      <c r="I50" s="95" t="s">
        <v>2233</v>
      </c>
      <c r="J50" s="96" t="s">
        <v>580</v>
      </c>
      <c r="K50" s="97" t="s">
        <v>1732</v>
      </c>
      <c r="L50" s="98" t="s">
        <v>1991</v>
      </c>
    </row>
    <row r="51" spans="2:17" s="27" customFormat="1" ht="12.75">
      <c r="B51" s="168" t="s">
        <v>1995</v>
      </c>
      <c r="C51" s="523" t="s">
        <v>581</v>
      </c>
      <c r="D51" s="524"/>
      <c r="E51" s="524"/>
      <c r="F51" s="524"/>
      <c r="G51" s="524"/>
      <c r="H51" s="525"/>
      <c r="I51" s="180">
        <v>31</v>
      </c>
      <c r="J51" s="283"/>
      <c r="K51" s="283"/>
      <c r="L51" s="181" t="str">
        <f t="shared" si="0"/>
        <v>-</v>
      </c>
      <c r="M51" s="93"/>
      <c r="N51" s="33"/>
      <c r="P51" s="34"/>
      <c r="Q51" s="28"/>
    </row>
    <row r="52" spans="2:17" s="27" customFormat="1" ht="12.75">
      <c r="B52" s="171" t="s">
        <v>1997</v>
      </c>
      <c r="C52" s="496" t="s">
        <v>582</v>
      </c>
      <c r="D52" s="497"/>
      <c r="E52" s="497"/>
      <c r="F52" s="497"/>
      <c r="G52" s="497"/>
      <c r="H52" s="519"/>
      <c r="I52" s="182">
        <v>32</v>
      </c>
      <c r="J52" s="284"/>
      <c r="K52" s="284"/>
      <c r="L52" s="183" t="str">
        <f t="shared" si="0"/>
        <v>-</v>
      </c>
      <c r="M52" s="93"/>
      <c r="N52" s="33"/>
      <c r="P52" s="34"/>
      <c r="Q52" s="28"/>
    </row>
    <row r="53" spans="2:17" s="27" customFormat="1" ht="12.75">
      <c r="B53" s="171" t="s">
        <v>1999</v>
      </c>
      <c r="C53" s="496" t="s">
        <v>2150</v>
      </c>
      <c r="D53" s="497"/>
      <c r="E53" s="497"/>
      <c r="F53" s="497"/>
      <c r="G53" s="497"/>
      <c r="H53" s="519"/>
      <c r="I53" s="182">
        <v>33</v>
      </c>
      <c r="J53" s="284"/>
      <c r="K53" s="284"/>
      <c r="L53" s="183" t="str">
        <f t="shared" si="0"/>
        <v>-</v>
      </c>
      <c r="M53" s="93"/>
      <c r="N53" s="33"/>
      <c r="P53" s="34"/>
      <c r="Q53" s="28"/>
    </row>
    <row r="54" spans="2:17" s="27" customFormat="1" ht="12.75">
      <c r="B54" s="171" t="s">
        <v>1644</v>
      </c>
      <c r="C54" s="496" t="s">
        <v>2151</v>
      </c>
      <c r="D54" s="497"/>
      <c r="E54" s="497"/>
      <c r="F54" s="497"/>
      <c r="G54" s="497"/>
      <c r="H54" s="519"/>
      <c r="I54" s="182">
        <v>34</v>
      </c>
      <c r="J54" s="284"/>
      <c r="K54" s="284"/>
      <c r="L54" s="183" t="str">
        <f t="shared" si="0"/>
        <v>-</v>
      </c>
      <c r="M54" s="93"/>
      <c r="N54" s="33"/>
      <c r="P54" s="34"/>
      <c r="Q54" s="28"/>
    </row>
    <row r="55" spans="2:17" s="27" customFormat="1" ht="12.75">
      <c r="B55" s="171" t="s">
        <v>1657</v>
      </c>
      <c r="C55" s="496" t="s">
        <v>2152</v>
      </c>
      <c r="D55" s="497"/>
      <c r="E55" s="497"/>
      <c r="F55" s="497"/>
      <c r="G55" s="497"/>
      <c r="H55" s="519"/>
      <c r="I55" s="182">
        <v>35</v>
      </c>
      <c r="J55" s="284"/>
      <c r="K55" s="284"/>
      <c r="L55" s="183" t="str">
        <f t="shared" si="0"/>
        <v>-</v>
      </c>
      <c r="M55" s="93"/>
      <c r="N55" s="33"/>
      <c r="P55" s="34"/>
      <c r="Q55" s="28"/>
    </row>
    <row r="56" spans="2:17" s="27" customFormat="1" ht="12.75">
      <c r="B56" s="171" t="s">
        <v>1659</v>
      </c>
      <c r="C56" s="496" t="s">
        <v>2153</v>
      </c>
      <c r="D56" s="497"/>
      <c r="E56" s="497"/>
      <c r="F56" s="497"/>
      <c r="G56" s="497"/>
      <c r="H56" s="519"/>
      <c r="I56" s="182">
        <v>36</v>
      </c>
      <c r="J56" s="284"/>
      <c r="K56" s="284"/>
      <c r="L56" s="183" t="str">
        <f t="shared" si="0"/>
        <v>-</v>
      </c>
      <c r="M56" s="93"/>
      <c r="N56" s="33"/>
      <c r="P56" s="34"/>
      <c r="Q56" s="28"/>
    </row>
    <row r="57" spans="2:17" s="27" customFormat="1" ht="12.75">
      <c r="B57" s="285" t="s">
        <v>1661</v>
      </c>
      <c r="C57" s="520" t="s">
        <v>2154</v>
      </c>
      <c r="D57" s="521"/>
      <c r="E57" s="521"/>
      <c r="F57" s="521"/>
      <c r="G57" s="521"/>
      <c r="H57" s="522"/>
      <c r="I57" s="286">
        <v>37</v>
      </c>
      <c r="J57" s="287"/>
      <c r="K57" s="287"/>
      <c r="L57" s="288" t="str">
        <f t="shared" si="0"/>
        <v>-</v>
      </c>
      <c r="M57" s="93"/>
      <c r="N57" s="33"/>
      <c r="P57" s="34"/>
      <c r="Q57" s="28"/>
    </row>
    <row r="58" spans="2:17" s="27" customFormat="1" ht="12.75">
      <c r="B58" s="285" t="s">
        <v>1218</v>
      </c>
      <c r="C58" s="520" t="s">
        <v>2300</v>
      </c>
      <c r="D58" s="521"/>
      <c r="E58" s="521"/>
      <c r="F58" s="521"/>
      <c r="G58" s="521"/>
      <c r="H58" s="522"/>
      <c r="I58" s="286">
        <v>38</v>
      </c>
      <c r="J58" s="287"/>
      <c r="K58" s="287"/>
      <c r="L58" s="288" t="str">
        <f t="shared" si="0"/>
        <v>-</v>
      </c>
      <c r="M58" s="93"/>
      <c r="N58" s="33"/>
      <c r="P58" s="34"/>
      <c r="Q58" s="28"/>
    </row>
    <row r="59" spans="2:17" s="27" customFormat="1" ht="12.75">
      <c r="B59" s="285" t="s">
        <v>1220</v>
      </c>
      <c r="C59" s="520" t="s">
        <v>2301</v>
      </c>
      <c r="D59" s="521"/>
      <c r="E59" s="521"/>
      <c r="F59" s="521"/>
      <c r="G59" s="521"/>
      <c r="H59" s="522"/>
      <c r="I59" s="286">
        <v>39</v>
      </c>
      <c r="J59" s="287"/>
      <c r="K59" s="287"/>
      <c r="L59" s="288" t="str">
        <f t="shared" si="0"/>
        <v>-</v>
      </c>
      <c r="M59" s="93"/>
      <c r="N59" s="33"/>
      <c r="P59" s="34"/>
      <c r="Q59" s="28"/>
    </row>
    <row r="60" spans="2:17" s="27" customFormat="1" ht="12.75">
      <c r="B60" s="169"/>
      <c r="C60" s="516" t="s">
        <v>2943</v>
      </c>
      <c r="D60" s="517"/>
      <c r="E60" s="517"/>
      <c r="F60" s="517"/>
      <c r="G60" s="517"/>
      <c r="H60" s="518"/>
      <c r="I60" s="184">
        <v>40</v>
      </c>
      <c r="J60" s="303">
        <f>ROUND(SUM(J51:J59),2)</f>
        <v>0</v>
      </c>
      <c r="K60" s="303">
        <f>ROUND(SUM(K51:K59),2)</f>
        <v>0</v>
      </c>
      <c r="L60" s="185" t="str">
        <f t="shared" si="0"/>
        <v>-</v>
      </c>
      <c r="M60" s="93"/>
      <c r="N60" s="33"/>
      <c r="P60" s="34"/>
      <c r="Q60" s="28"/>
    </row>
    <row r="61" s="114" customFormat="1" ht="9.75" customHeight="1"/>
    <row r="62" spans="2:12" s="114" customFormat="1" ht="14.25">
      <c r="B62" s="439"/>
      <c r="C62" s="439"/>
      <c r="D62" s="439"/>
      <c r="E62" s="444"/>
      <c r="F62" s="444"/>
      <c r="G62" s="444"/>
      <c r="H62" s="444"/>
      <c r="I62" s="115"/>
      <c r="J62" s="416" t="s">
        <v>2896</v>
      </c>
      <c r="K62" s="416"/>
      <c r="L62" s="416"/>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35">
        <f>IF(RefStr!P4=1,IF(RefStr!D39&lt;&gt;"",RefStr!D39,""),"")</f>
      </c>
      <c r="E64" s="435"/>
      <c r="F64" s="435"/>
      <c r="G64" s="435"/>
      <c r="H64" s="435"/>
      <c r="I64" s="156"/>
      <c r="J64" s="157"/>
      <c r="K64" s="157"/>
      <c r="L64" s="157"/>
    </row>
    <row r="65" spans="2:12" s="114" customFormat="1" ht="15" thickBot="1">
      <c r="B65" s="441" t="s">
        <v>2317</v>
      </c>
      <c r="C65" s="441"/>
      <c r="D65" s="200">
        <f>IF(RefStr!P4=1,IF(RefStr!D41&lt;&gt;"",RefStr!D41,""),"")</f>
      </c>
      <c r="E65" s="159"/>
      <c r="F65" s="159"/>
      <c r="G65" s="159"/>
      <c r="H65" s="160"/>
      <c r="I65" s="161"/>
      <c r="J65" s="161"/>
      <c r="K65" s="162"/>
      <c r="L65" s="161"/>
    </row>
    <row r="66" spans="2:12" s="114" customFormat="1" ht="15" thickBot="1">
      <c r="B66" s="447" t="s">
        <v>1902</v>
      </c>
      <c r="C66" s="447"/>
      <c r="D66" s="435">
        <f>IF(RefStr!P4=1,IF(RefStr!D43&lt;&gt;"",RefStr!D43,""),"")</f>
      </c>
      <c r="E66" s="435"/>
      <c r="F66" s="435"/>
      <c r="G66" s="435"/>
      <c r="H66" s="154"/>
      <c r="I66" s="154"/>
      <c r="J66" s="154"/>
      <c r="K66" s="154"/>
      <c r="L66" s="154"/>
    </row>
    <row r="67" spans="2:12" s="114" customFormat="1" ht="15" thickBot="1">
      <c r="B67" s="441" t="s">
        <v>1903</v>
      </c>
      <c r="C67" s="441"/>
      <c r="D67" s="442">
        <f>IF(RefStr!P4=1,IF(RefStr!D45&lt;&gt;"",RefStr!D45,""),"")</f>
      </c>
      <c r="E67" s="442"/>
      <c r="F67" s="154"/>
      <c r="G67" s="163"/>
      <c r="H67" s="163"/>
      <c r="I67" s="163"/>
      <c r="J67" s="163"/>
      <c r="K67" s="163"/>
      <c r="L67" s="163"/>
    </row>
    <row r="68" spans="2:12" s="114" customFormat="1" ht="15" thickBot="1">
      <c r="B68" s="441" t="s">
        <v>1482</v>
      </c>
      <c r="C68" s="441"/>
      <c r="D68" s="443">
        <f>IF(RefStr!P4=1,IF(RefStr!D47&lt;&gt;"",RefStr!D47,""),"")</f>
      </c>
      <c r="E68" s="443"/>
      <c r="F68" s="164"/>
      <c r="G68" s="164"/>
      <c r="H68" s="164"/>
      <c r="I68" s="164"/>
      <c r="J68" s="164"/>
      <c r="K68" s="163"/>
      <c r="L68" s="163"/>
    </row>
    <row r="69" spans="2:12" s="114" customFormat="1" ht="15" thickBot="1">
      <c r="B69" s="441" t="s">
        <v>1904</v>
      </c>
      <c r="C69" s="441"/>
      <c r="D69" s="440">
        <f>IF(RefStr!P4=1,IF(RefStr!D49&lt;&gt;"",RefStr!D49,""),"")</f>
      </c>
      <c r="E69" s="440"/>
      <c r="F69" s="440"/>
      <c r="G69" s="440"/>
      <c r="H69" s="164"/>
      <c r="I69" s="164"/>
      <c r="J69" s="164"/>
      <c r="K69" s="164"/>
      <c r="L69" s="164"/>
    </row>
    <row r="70" ht="14.25"/>
  </sheetData>
  <sheetProtection password="C79A" sheet="1" objects="1" scenarios="1"/>
  <mergeCells count="77">
    <mergeCell ref="K2:L2"/>
    <mergeCell ref="B3:C3"/>
    <mergeCell ref="K3:L3"/>
    <mergeCell ref="B4:L4"/>
    <mergeCell ref="D7:L7"/>
    <mergeCell ref="B11:C11"/>
    <mergeCell ref="B10:C10"/>
    <mergeCell ref="B9:C9"/>
    <mergeCell ref="D9:L9"/>
    <mergeCell ref="B5:L5"/>
    <mergeCell ref="C16:H16"/>
    <mergeCell ref="B6:L6"/>
    <mergeCell ref="B7:C7"/>
    <mergeCell ref="G8:L8"/>
    <mergeCell ref="B8:C8"/>
    <mergeCell ref="D10:F10"/>
    <mergeCell ref="B15:D15"/>
    <mergeCell ref="C41:H41"/>
    <mergeCell ref="B34:L34"/>
    <mergeCell ref="B12:C12"/>
    <mergeCell ref="K12:L12"/>
    <mergeCell ref="C23:H23"/>
    <mergeCell ref="C20:H20"/>
    <mergeCell ref="C21:H21"/>
    <mergeCell ref="C22:H22"/>
    <mergeCell ref="B18:L18"/>
    <mergeCell ref="I13:J13"/>
    <mergeCell ref="C57:H57"/>
    <mergeCell ref="C40:H40"/>
    <mergeCell ref="C37:H37"/>
    <mergeCell ref="C55:H55"/>
    <mergeCell ref="C24:H24"/>
    <mergeCell ref="C27:H27"/>
    <mergeCell ref="C44:H44"/>
    <mergeCell ref="C45:H45"/>
    <mergeCell ref="C46:H46"/>
    <mergeCell ref="C51:H51"/>
    <mergeCell ref="B68:C68"/>
    <mergeCell ref="B66:C66"/>
    <mergeCell ref="D66:G66"/>
    <mergeCell ref="C42:H42"/>
    <mergeCell ref="C43:H43"/>
    <mergeCell ref="C59:H59"/>
    <mergeCell ref="C54:H54"/>
    <mergeCell ref="C52:H52"/>
    <mergeCell ref="C56:H56"/>
    <mergeCell ref="C58:H58"/>
    <mergeCell ref="C60:H60"/>
    <mergeCell ref="B62:D62"/>
    <mergeCell ref="E62:H62"/>
    <mergeCell ref="C53:H53"/>
    <mergeCell ref="B69:C69"/>
    <mergeCell ref="D68:E68"/>
    <mergeCell ref="D69:G69"/>
    <mergeCell ref="B67:C67"/>
    <mergeCell ref="D67:E67"/>
    <mergeCell ref="B65:C65"/>
    <mergeCell ref="C30:H30"/>
    <mergeCell ref="C31:H31"/>
    <mergeCell ref="C25:H25"/>
    <mergeCell ref="C32:H32"/>
    <mergeCell ref="J62:L62"/>
    <mergeCell ref="D64:H64"/>
    <mergeCell ref="C47:H47"/>
    <mergeCell ref="C48:H48"/>
    <mergeCell ref="C49:H49"/>
    <mergeCell ref="C50:H50"/>
    <mergeCell ref="C38:H38"/>
    <mergeCell ref="C39:H39"/>
    <mergeCell ref="C35:H35"/>
    <mergeCell ref="C36:H36"/>
    <mergeCell ref="C26:H26"/>
    <mergeCell ref="C17:H17"/>
    <mergeCell ref="C33:H33"/>
    <mergeCell ref="C19:H19"/>
    <mergeCell ref="C28:H28"/>
    <mergeCell ref="C29:H29"/>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49" t="s">
        <v>1331</v>
      </c>
      <c r="B2" s="550"/>
      <c r="C2" s="550"/>
      <c r="D2" s="550"/>
      <c r="E2" s="550"/>
      <c r="F2" s="550"/>
      <c r="G2" s="550"/>
      <c r="H2" s="550"/>
      <c r="I2" s="550"/>
    </row>
    <row r="3" spans="1:9" ht="22.5" customHeight="1">
      <c r="A3" s="59" t="s">
        <v>1905</v>
      </c>
      <c r="B3" s="60" t="s">
        <v>1906</v>
      </c>
      <c r="D3" s="60" t="s">
        <v>2231</v>
      </c>
      <c r="E3" s="540" t="s">
        <v>1907</v>
      </c>
      <c r="F3" s="540"/>
      <c r="G3" s="541"/>
      <c r="H3" s="541"/>
      <c r="I3" s="541"/>
    </row>
    <row r="4" spans="1:9" ht="14.25" customHeight="1">
      <c r="A4" s="61" t="s">
        <v>1908</v>
      </c>
      <c r="B4" s="62">
        <v>16</v>
      </c>
      <c r="C4" s="63"/>
      <c r="D4" s="64">
        <v>111</v>
      </c>
      <c r="E4" s="542" t="s">
        <v>222</v>
      </c>
      <c r="F4" s="542"/>
      <c r="G4" s="542"/>
      <c r="H4" s="542"/>
      <c r="I4" s="543"/>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35" t="s">
        <v>1713</v>
      </c>
      <c r="F117" s="536"/>
      <c r="G117" s="536"/>
      <c r="H117" s="536"/>
      <c r="I117" s="537"/>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35" t="s">
        <v>2456</v>
      </c>
      <c r="F240" s="536"/>
      <c r="G240" s="536"/>
      <c r="H240" s="536"/>
      <c r="I240" s="537"/>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35" t="s">
        <v>947</v>
      </c>
      <c r="F261" s="536"/>
      <c r="G261" s="536"/>
      <c r="H261" s="536"/>
      <c r="I261" s="537"/>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35" t="s">
        <v>2683</v>
      </c>
      <c r="F318" s="536"/>
      <c r="G318" s="536"/>
      <c r="H318" s="536"/>
      <c r="I318" s="537"/>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38" t="s">
        <v>188</v>
      </c>
      <c r="F334" s="538"/>
      <c r="G334" s="538"/>
      <c r="H334" s="538"/>
      <c r="I334" s="539"/>
    </row>
    <row r="335" spans="1:9" ht="14.25" customHeight="1">
      <c r="A335" s="65" t="s">
        <v>1767</v>
      </c>
      <c r="B335" s="66">
        <v>5</v>
      </c>
      <c r="C335" s="63"/>
      <c r="D335" s="67">
        <v>4613</v>
      </c>
      <c r="E335" s="538" t="s">
        <v>190</v>
      </c>
      <c r="F335" s="538"/>
      <c r="G335" s="538"/>
      <c r="H335" s="538"/>
      <c r="I335" s="539"/>
    </row>
    <row r="336" spans="1:9" ht="14.25" customHeight="1">
      <c r="A336" s="65" t="s">
        <v>1768</v>
      </c>
      <c r="B336" s="66">
        <v>14</v>
      </c>
      <c r="C336" s="63"/>
      <c r="D336" s="67">
        <v>4614</v>
      </c>
      <c r="E336" s="538" t="s">
        <v>192</v>
      </c>
      <c r="F336" s="538"/>
      <c r="G336" s="538"/>
      <c r="H336" s="538"/>
      <c r="I336" s="539"/>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35" t="s">
        <v>2892</v>
      </c>
      <c r="F348" s="536"/>
      <c r="G348" s="536"/>
      <c r="H348" s="536"/>
      <c r="I348" s="537"/>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35" t="s">
        <v>1456</v>
      </c>
      <c r="F389" s="536"/>
      <c r="G389" s="536"/>
      <c r="H389" s="536"/>
      <c r="I389" s="537"/>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35" t="s">
        <v>644</v>
      </c>
      <c r="F392" s="536"/>
      <c r="G392" s="536"/>
      <c r="H392" s="536"/>
      <c r="I392" s="537"/>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35" t="s">
        <v>650</v>
      </c>
      <c r="F395" s="536"/>
      <c r="G395" s="536"/>
      <c r="H395" s="536"/>
      <c r="I395" s="537"/>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35" t="s">
        <v>654</v>
      </c>
      <c r="F397" s="536"/>
      <c r="G397" s="536"/>
      <c r="H397" s="536"/>
      <c r="I397" s="537"/>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35" t="s">
        <v>2072</v>
      </c>
      <c r="F408" s="536"/>
      <c r="G408" s="536"/>
      <c r="H408" s="536"/>
      <c r="I408" s="537"/>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35" t="s">
        <v>1892</v>
      </c>
      <c r="F413" s="536"/>
      <c r="G413" s="536"/>
      <c r="H413" s="536"/>
      <c r="I413" s="537"/>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35" t="s">
        <v>610</v>
      </c>
      <c r="F457" s="536"/>
      <c r="G457" s="536"/>
      <c r="H457" s="536"/>
      <c r="I457" s="537"/>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35" t="s">
        <v>583</v>
      </c>
      <c r="F488" s="536"/>
      <c r="G488" s="536"/>
      <c r="H488" s="536"/>
      <c r="I488" s="537"/>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35" t="s">
        <v>1603</v>
      </c>
      <c r="F494" s="536"/>
      <c r="G494" s="536"/>
      <c r="H494" s="536"/>
      <c r="I494" s="537"/>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35" t="s">
        <v>2441</v>
      </c>
      <c r="F506" s="536"/>
      <c r="G506" s="536"/>
      <c r="H506" s="536"/>
      <c r="I506" s="537"/>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38" t="s">
        <v>2420</v>
      </c>
      <c r="F520" s="538"/>
      <c r="G520" s="538"/>
      <c r="H520" s="538"/>
      <c r="I520" s="539"/>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38" t="s">
        <v>3074</v>
      </c>
      <c r="F522" s="538"/>
      <c r="G522" s="538"/>
      <c r="H522" s="538"/>
      <c r="I522" s="539"/>
    </row>
    <row r="523" spans="1:9" ht="14.25" customHeight="1">
      <c r="A523" s="65" t="s">
        <v>2850</v>
      </c>
      <c r="B523" s="66">
        <v>15</v>
      </c>
      <c r="C523" s="63"/>
      <c r="D523" s="67">
        <v>7733</v>
      </c>
      <c r="E523" s="535" t="s">
        <v>1641</v>
      </c>
      <c r="F523" s="536"/>
      <c r="G523" s="536"/>
      <c r="H523" s="536"/>
      <c r="I523" s="537"/>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35" t="s">
        <v>435</v>
      </c>
      <c r="F526" s="536"/>
      <c r="G526" s="536"/>
      <c r="H526" s="536"/>
      <c r="I526" s="537"/>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35" t="s">
        <v>419</v>
      </c>
      <c r="F543" s="536"/>
      <c r="G543" s="536"/>
      <c r="H543" s="536"/>
      <c r="I543" s="537"/>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44" t="s">
        <v>1132</v>
      </c>
      <c r="F550" s="545"/>
      <c r="G550" s="545"/>
      <c r="H550" s="545"/>
      <c r="I550" s="546"/>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47" t="s">
        <v>2137</v>
      </c>
      <c r="F618" s="547"/>
      <c r="G618" s="547"/>
      <c r="H618" s="547"/>
      <c r="I618" s="548"/>
    </row>
    <row r="619" ht="4.5" customHeight="1"/>
  </sheetData>
  <sheetProtection password="C79A" sheet="1" objects="1" scenarios="1"/>
  <mergeCells count="617">
    <mergeCell ref="E617:I617"/>
    <mergeCell ref="E602:I602"/>
    <mergeCell ref="E618:I618"/>
    <mergeCell ref="A2:I2"/>
    <mergeCell ref="E613:I613"/>
    <mergeCell ref="E614:I614"/>
    <mergeCell ref="E615:I615"/>
    <mergeCell ref="E616:I616"/>
    <mergeCell ref="E609:I609"/>
    <mergeCell ref="E610:I610"/>
    <mergeCell ref="E611:I611"/>
    <mergeCell ref="E605:I605"/>
    <mergeCell ref="E606:I606"/>
    <mergeCell ref="E612:I612"/>
    <mergeCell ref="E608:I608"/>
    <mergeCell ref="E607:I607"/>
    <mergeCell ref="E599:I599"/>
    <mergeCell ref="E600:I600"/>
    <mergeCell ref="E603:I603"/>
    <mergeCell ref="E604:I604"/>
    <mergeCell ref="E601:I601"/>
    <mergeCell ref="E597:I597"/>
    <mergeCell ref="E598:I598"/>
    <mergeCell ref="E591:I591"/>
    <mergeCell ref="E592:I592"/>
    <mergeCell ref="E593:I593"/>
    <mergeCell ref="E594:I594"/>
    <mergeCell ref="E595:I595"/>
    <mergeCell ref="E596:I596"/>
    <mergeCell ref="E569:I569"/>
    <mergeCell ref="E570:I570"/>
    <mergeCell ref="E589:I589"/>
    <mergeCell ref="E590:I590"/>
    <mergeCell ref="E579:I579"/>
    <mergeCell ref="E580:I580"/>
    <mergeCell ref="E581:I581"/>
    <mergeCell ref="E582:I582"/>
    <mergeCell ref="E585:I585"/>
    <mergeCell ref="E586:I586"/>
    <mergeCell ref="E573:I573"/>
    <mergeCell ref="E574:I574"/>
    <mergeCell ref="E587:I587"/>
    <mergeCell ref="E588:I588"/>
    <mergeCell ref="E575:I575"/>
    <mergeCell ref="E576:I576"/>
    <mergeCell ref="E577:I577"/>
    <mergeCell ref="E578:I578"/>
    <mergeCell ref="E583:I583"/>
    <mergeCell ref="E584:I584"/>
    <mergeCell ref="E547:I547"/>
    <mergeCell ref="E548:I548"/>
    <mergeCell ref="E555:I555"/>
    <mergeCell ref="E556:I556"/>
    <mergeCell ref="E549:I549"/>
    <mergeCell ref="E550:I550"/>
    <mergeCell ref="E551:I551"/>
    <mergeCell ref="E552:I552"/>
    <mergeCell ref="E563:I563"/>
    <mergeCell ref="E564:I564"/>
    <mergeCell ref="E561:I561"/>
    <mergeCell ref="E562:I562"/>
    <mergeCell ref="E571:I571"/>
    <mergeCell ref="E572:I572"/>
    <mergeCell ref="E565:I565"/>
    <mergeCell ref="E566:I566"/>
    <mergeCell ref="E567:I567"/>
    <mergeCell ref="E568:I568"/>
    <mergeCell ref="E559:I559"/>
    <mergeCell ref="E560:I560"/>
    <mergeCell ref="E553:I553"/>
    <mergeCell ref="E554:I554"/>
    <mergeCell ref="E557:I557"/>
    <mergeCell ref="E558:I558"/>
    <mergeCell ref="E531:I531"/>
    <mergeCell ref="E532:I532"/>
    <mergeCell ref="E533:I533"/>
    <mergeCell ref="E534:I534"/>
    <mergeCell ref="E545:I545"/>
    <mergeCell ref="E546:I546"/>
    <mergeCell ref="E541:I541"/>
    <mergeCell ref="E542:I542"/>
    <mergeCell ref="E539:I539"/>
    <mergeCell ref="E540:I540"/>
    <mergeCell ref="E543:I543"/>
    <mergeCell ref="E544:I544"/>
    <mergeCell ref="E535:I535"/>
    <mergeCell ref="E536:I536"/>
    <mergeCell ref="E537:I537"/>
    <mergeCell ref="E538:I538"/>
    <mergeCell ref="E529:I529"/>
    <mergeCell ref="E530:I530"/>
    <mergeCell ref="E519:I519"/>
    <mergeCell ref="E520:I520"/>
    <mergeCell ref="E521:I521"/>
    <mergeCell ref="E522:I522"/>
    <mergeCell ref="E525:I525"/>
    <mergeCell ref="E526:I526"/>
    <mergeCell ref="E527:I527"/>
    <mergeCell ref="E528:I528"/>
    <mergeCell ref="E510:I510"/>
    <mergeCell ref="E503:I503"/>
    <mergeCell ref="E504:I504"/>
    <mergeCell ref="E523:I523"/>
    <mergeCell ref="E514:I514"/>
    <mergeCell ref="E515:I515"/>
    <mergeCell ref="E516:I516"/>
    <mergeCell ref="E509:I509"/>
    <mergeCell ref="E524:I524"/>
    <mergeCell ref="E511:I511"/>
    <mergeCell ref="E512:I512"/>
    <mergeCell ref="E505:I505"/>
    <mergeCell ref="E506:I506"/>
    <mergeCell ref="E517:I517"/>
    <mergeCell ref="E518:I518"/>
    <mergeCell ref="E507:I507"/>
    <mergeCell ref="E508:I508"/>
    <mergeCell ref="E513:I513"/>
    <mergeCell ref="E501:I501"/>
    <mergeCell ref="E502:I502"/>
    <mergeCell ref="E499:I499"/>
    <mergeCell ref="E500:I500"/>
    <mergeCell ref="E495:I495"/>
    <mergeCell ref="E496:I496"/>
    <mergeCell ref="E497:I497"/>
    <mergeCell ref="E498:I498"/>
    <mergeCell ref="E475:I475"/>
    <mergeCell ref="E476:I476"/>
    <mergeCell ref="E483:I483"/>
    <mergeCell ref="E484:I484"/>
    <mergeCell ref="E477:I477"/>
    <mergeCell ref="E478:I478"/>
    <mergeCell ref="E479:I479"/>
    <mergeCell ref="E480:I480"/>
    <mergeCell ref="E481:I481"/>
    <mergeCell ref="E482:I482"/>
    <mergeCell ref="E493:I493"/>
    <mergeCell ref="E494:I494"/>
    <mergeCell ref="E485:I485"/>
    <mergeCell ref="E486:I486"/>
    <mergeCell ref="E491:I491"/>
    <mergeCell ref="E492:I492"/>
    <mergeCell ref="E489:I489"/>
    <mergeCell ref="E490:I490"/>
    <mergeCell ref="E487:I487"/>
    <mergeCell ref="E488:I488"/>
    <mergeCell ref="E461:I461"/>
    <mergeCell ref="E462:I462"/>
    <mergeCell ref="E473:I473"/>
    <mergeCell ref="E474:I474"/>
    <mergeCell ref="E469:I469"/>
    <mergeCell ref="E470:I470"/>
    <mergeCell ref="E467:I467"/>
    <mergeCell ref="E468:I468"/>
    <mergeCell ref="E453:I453"/>
    <mergeCell ref="E454:I454"/>
    <mergeCell ref="E471:I471"/>
    <mergeCell ref="E472:I472"/>
    <mergeCell ref="E463:I463"/>
    <mergeCell ref="E464:I464"/>
    <mergeCell ref="E465:I465"/>
    <mergeCell ref="E466:I466"/>
    <mergeCell ref="E459:I459"/>
    <mergeCell ref="E460:I460"/>
    <mergeCell ref="E33:I33"/>
    <mergeCell ref="E34:I34"/>
    <mergeCell ref="E457:I457"/>
    <mergeCell ref="E458:I458"/>
    <mergeCell ref="E447:I447"/>
    <mergeCell ref="E448:I448"/>
    <mergeCell ref="E449:I449"/>
    <mergeCell ref="E450:I450"/>
    <mergeCell ref="E455:I455"/>
    <mergeCell ref="E456:I456"/>
    <mergeCell ref="E9:I9"/>
    <mergeCell ref="E10:I10"/>
    <mergeCell ref="E27:I27"/>
    <mergeCell ref="E28:I28"/>
    <mergeCell ref="E23:I23"/>
    <mergeCell ref="E24:I24"/>
    <mergeCell ref="E25:I25"/>
    <mergeCell ref="E26:I26"/>
    <mergeCell ref="E13:I13"/>
    <mergeCell ref="E14:I14"/>
    <mergeCell ref="E441:I441"/>
    <mergeCell ref="E442:I442"/>
    <mergeCell ref="E3:I3"/>
    <mergeCell ref="E4:I4"/>
    <mergeCell ref="E5:I5"/>
    <mergeCell ref="E6:I6"/>
    <mergeCell ref="E21:I21"/>
    <mergeCell ref="E22:I22"/>
    <mergeCell ref="E7:I7"/>
    <mergeCell ref="E8:I8"/>
    <mergeCell ref="E51:I51"/>
    <mergeCell ref="E52:I52"/>
    <mergeCell ref="E451:I451"/>
    <mergeCell ref="E452:I452"/>
    <mergeCell ref="E439:I439"/>
    <mergeCell ref="E440:I440"/>
    <mergeCell ref="E445:I445"/>
    <mergeCell ref="E446:I446"/>
    <mergeCell ref="E443:I443"/>
    <mergeCell ref="E444:I444"/>
    <mergeCell ref="E437:I437"/>
    <mergeCell ref="E438:I438"/>
    <mergeCell ref="E31:I31"/>
    <mergeCell ref="E32:I32"/>
    <mergeCell ref="E45:I45"/>
    <mergeCell ref="E46:I46"/>
    <mergeCell ref="E49:I49"/>
    <mergeCell ref="E50:I50"/>
    <mergeCell ref="E37:I37"/>
    <mergeCell ref="E38:I38"/>
    <mergeCell ref="E11:I11"/>
    <mergeCell ref="E12:I12"/>
    <mergeCell ref="E19:I19"/>
    <mergeCell ref="E20:I20"/>
    <mergeCell ref="E15:I15"/>
    <mergeCell ref="E16:I16"/>
    <mergeCell ref="E17:I17"/>
    <mergeCell ref="E18:I18"/>
    <mergeCell ref="E47:I47"/>
    <mergeCell ref="E48:I48"/>
    <mergeCell ref="E29:I29"/>
    <mergeCell ref="E30:I30"/>
    <mergeCell ref="E41:I41"/>
    <mergeCell ref="E42:I42"/>
    <mergeCell ref="E39:I39"/>
    <mergeCell ref="E40:I40"/>
    <mergeCell ref="E35:I35"/>
    <mergeCell ref="E36:I36"/>
    <mergeCell ref="E61:I61"/>
    <mergeCell ref="E62:I62"/>
    <mergeCell ref="E43:I43"/>
    <mergeCell ref="E44:I44"/>
    <mergeCell ref="E63:I63"/>
    <mergeCell ref="E64:I64"/>
    <mergeCell ref="E55:I55"/>
    <mergeCell ref="E56:I56"/>
    <mergeCell ref="E57:I57"/>
    <mergeCell ref="E58:I58"/>
    <mergeCell ref="E53:I53"/>
    <mergeCell ref="E54:I54"/>
    <mergeCell ref="E73:I73"/>
    <mergeCell ref="E74:I74"/>
    <mergeCell ref="E75:I75"/>
    <mergeCell ref="E76:I76"/>
    <mergeCell ref="E65:I65"/>
    <mergeCell ref="E66:I66"/>
    <mergeCell ref="E59:I59"/>
    <mergeCell ref="E60:I60"/>
    <mergeCell ref="E77:I77"/>
    <mergeCell ref="E78:I78"/>
    <mergeCell ref="E67:I67"/>
    <mergeCell ref="E68:I68"/>
    <mergeCell ref="E69:I69"/>
    <mergeCell ref="E70:I70"/>
    <mergeCell ref="E71:I71"/>
    <mergeCell ref="E72:I72"/>
    <mergeCell ref="E85:I85"/>
    <mergeCell ref="E86:I86"/>
    <mergeCell ref="E87:I87"/>
    <mergeCell ref="E88:I88"/>
    <mergeCell ref="E89:I89"/>
    <mergeCell ref="E90:I90"/>
    <mergeCell ref="E79:I79"/>
    <mergeCell ref="E80:I80"/>
    <mergeCell ref="E81:I81"/>
    <mergeCell ref="E82:I82"/>
    <mergeCell ref="E83:I83"/>
    <mergeCell ref="E84:I84"/>
    <mergeCell ref="E97:I97"/>
    <mergeCell ref="E98:I98"/>
    <mergeCell ref="E99:I99"/>
    <mergeCell ref="E100:I100"/>
    <mergeCell ref="E101:I101"/>
    <mergeCell ref="E102:I102"/>
    <mergeCell ref="E91:I91"/>
    <mergeCell ref="E92:I92"/>
    <mergeCell ref="E93:I93"/>
    <mergeCell ref="E94:I94"/>
    <mergeCell ref="E95:I95"/>
    <mergeCell ref="E96:I96"/>
    <mergeCell ref="E109:I109"/>
    <mergeCell ref="E110:I110"/>
    <mergeCell ref="E111:I111"/>
    <mergeCell ref="E112:I112"/>
    <mergeCell ref="E113:I113"/>
    <mergeCell ref="E114:I114"/>
    <mergeCell ref="E103:I103"/>
    <mergeCell ref="E104:I104"/>
    <mergeCell ref="E105:I105"/>
    <mergeCell ref="E106:I106"/>
    <mergeCell ref="E107:I107"/>
    <mergeCell ref="E108:I108"/>
    <mergeCell ref="E121:I121"/>
    <mergeCell ref="E122:I122"/>
    <mergeCell ref="E123:I123"/>
    <mergeCell ref="E124:I124"/>
    <mergeCell ref="E125:I125"/>
    <mergeCell ref="E126:I126"/>
    <mergeCell ref="E115:I115"/>
    <mergeCell ref="E116:I116"/>
    <mergeCell ref="E117:I117"/>
    <mergeCell ref="E118:I118"/>
    <mergeCell ref="E119:I119"/>
    <mergeCell ref="E120:I120"/>
    <mergeCell ref="E133:I133"/>
    <mergeCell ref="E134:I134"/>
    <mergeCell ref="E135:I135"/>
    <mergeCell ref="E136:I136"/>
    <mergeCell ref="E137:I137"/>
    <mergeCell ref="E138:I138"/>
    <mergeCell ref="E127:I127"/>
    <mergeCell ref="E128:I128"/>
    <mergeCell ref="E129:I129"/>
    <mergeCell ref="E130:I130"/>
    <mergeCell ref="E131:I131"/>
    <mergeCell ref="E132:I132"/>
    <mergeCell ref="E145:I145"/>
    <mergeCell ref="E146:I146"/>
    <mergeCell ref="E147:I147"/>
    <mergeCell ref="E148:I148"/>
    <mergeCell ref="E149:I149"/>
    <mergeCell ref="E150:I150"/>
    <mergeCell ref="E139:I139"/>
    <mergeCell ref="E140:I140"/>
    <mergeCell ref="E141:I141"/>
    <mergeCell ref="E142:I142"/>
    <mergeCell ref="E143:I143"/>
    <mergeCell ref="E144:I144"/>
    <mergeCell ref="E157:I157"/>
    <mergeCell ref="E158:I158"/>
    <mergeCell ref="E159:I159"/>
    <mergeCell ref="E160:I160"/>
    <mergeCell ref="E161:I161"/>
    <mergeCell ref="E162:I162"/>
    <mergeCell ref="E151:I151"/>
    <mergeCell ref="E152:I152"/>
    <mergeCell ref="E153:I153"/>
    <mergeCell ref="E154:I154"/>
    <mergeCell ref="E155:I155"/>
    <mergeCell ref="E156:I156"/>
    <mergeCell ref="E169:I169"/>
    <mergeCell ref="E170:I170"/>
    <mergeCell ref="E171:I171"/>
    <mergeCell ref="E172:I172"/>
    <mergeCell ref="E173:I173"/>
    <mergeCell ref="E174:I174"/>
    <mergeCell ref="E163:I163"/>
    <mergeCell ref="E164:I164"/>
    <mergeCell ref="E165:I165"/>
    <mergeCell ref="E166:I166"/>
    <mergeCell ref="E167:I167"/>
    <mergeCell ref="E168:I168"/>
    <mergeCell ref="E181:I181"/>
    <mergeCell ref="E182:I182"/>
    <mergeCell ref="E183:I183"/>
    <mergeCell ref="E184:I184"/>
    <mergeCell ref="E185:I185"/>
    <mergeCell ref="E186:I186"/>
    <mergeCell ref="E175:I175"/>
    <mergeCell ref="E176:I176"/>
    <mergeCell ref="E177:I177"/>
    <mergeCell ref="E178:I178"/>
    <mergeCell ref="E179:I179"/>
    <mergeCell ref="E180:I180"/>
    <mergeCell ref="E193:I193"/>
    <mergeCell ref="E194:I194"/>
    <mergeCell ref="E195:I195"/>
    <mergeCell ref="E196:I196"/>
    <mergeCell ref="E197:I197"/>
    <mergeCell ref="E198:I198"/>
    <mergeCell ref="E187:I187"/>
    <mergeCell ref="E188:I188"/>
    <mergeCell ref="E189:I189"/>
    <mergeCell ref="E190:I190"/>
    <mergeCell ref="E191:I191"/>
    <mergeCell ref="E192:I192"/>
    <mergeCell ref="E205:I205"/>
    <mergeCell ref="E206:I206"/>
    <mergeCell ref="E207:I207"/>
    <mergeCell ref="E208:I208"/>
    <mergeCell ref="E209:I209"/>
    <mergeCell ref="E210:I210"/>
    <mergeCell ref="E199:I199"/>
    <mergeCell ref="E200:I200"/>
    <mergeCell ref="E201:I201"/>
    <mergeCell ref="E202:I202"/>
    <mergeCell ref="E203:I203"/>
    <mergeCell ref="E204:I204"/>
    <mergeCell ref="E217:I217"/>
    <mergeCell ref="E218:I218"/>
    <mergeCell ref="E219:I219"/>
    <mergeCell ref="E220:I220"/>
    <mergeCell ref="E221:I221"/>
    <mergeCell ref="E222:I222"/>
    <mergeCell ref="E211:I211"/>
    <mergeCell ref="E212:I212"/>
    <mergeCell ref="E213:I213"/>
    <mergeCell ref="E214:I214"/>
    <mergeCell ref="E215:I215"/>
    <mergeCell ref="E216:I216"/>
    <mergeCell ref="E229:I229"/>
    <mergeCell ref="E230:I230"/>
    <mergeCell ref="E231:I231"/>
    <mergeCell ref="E232:I232"/>
    <mergeCell ref="E233:I233"/>
    <mergeCell ref="E234:I234"/>
    <mergeCell ref="E223:I223"/>
    <mergeCell ref="E224:I224"/>
    <mergeCell ref="E225:I225"/>
    <mergeCell ref="E226:I226"/>
    <mergeCell ref="E227:I227"/>
    <mergeCell ref="E228:I228"/>
    <mergeCell ref="E241:I241"/>
    <mergeCell ref="E242:I242"/>
    <mergeCell ref="E243:I243"/>
    <mergeCell ref="E244:I244"/>
    <mergeCell ref="E245:I245"/>
    <mergeCell ref="E246:I246"/>
    <mergeCell ref="E235:I235"/>
    <mergeCell ref="E236:I236"/>
    <mergeCell ref="E237:I237"/>
    <mergeCell ref="E238:I238"/>
    <mergeCell ref="E239:I239"/>
    <mergeCell ref="E240:I240"/>
    <mergeCell ref="E253:I253"/>
    <mergeCell ref="E254:I254"/>
    <mergeCell ref="E255:I255"/>
    <mergeCell ref="E256:I256"/>
    <mergeCell ref="E257:I257"/>
    <mergeCell ref="E258:I258"/>
    <mergeCell ref="E247:I247"/>
    <mergeCell ref="E248:I248"/>
    <mergeCell ref="E249:I249"/>
    <mergeCell ref="E250:I250"/>
    <mergeCell ref="E251:I251"/>
    <mergeCell ref="E252:I252"/>
    <mergeCell ref="E265:I265"/>
    <mergeCell ref="E266:I266"/>
    <mergeCell ref="E267:I267"/>
    <mergeCell ref="E268:I268"/>
    <mergeCell ref="E269:I269"/>
    <mergeCell ref="E270:I270"/>
    <mergeCell ref="E259:I259"/>
    <mergeCell ref="E260:I260"/>
    <mergeCell ref="E261:I261"/>
    <mergeCell ref="E262:I262"/>
    <mergeCell ref="E263:I263"/>
    <mergeCell ref="E264:I264"/>
    <mergeCell ref="E277:I277"/>
    <mergeCell ref="E278:I278"/>
    <mergeCell ref="E279:I279"/>
    <mergeCell ref="E280:I280"/>
    <mergeCell ref="E281:I281"/>
    <mergeCell ref="E282:I282"/>
    <mergeCell ref="E271:I271"/>
    <mergeCell ref="E272:I272"/>
    <mergeCell ref="E273:I273"/>
    <mergeCell ref="E274:I274"/>
    <mergeCell ref="E275:I275"/>
    <mergeCell ref="E276:I276"/>
    <mergeCell ref="E289:I289"/>
    <mergeCell ref="E290:I290"/>
    <mergeCell ref="E291:I291"/>
    <mergeCell ref="E292:I292"/>
    <mergeCell ref="E293:I293"/>
    <mergeCell ref="E294:I294"/>
    <mergeCell ref="E283:I283"/>
    <mergeCell ref="E284:I284"/>
    <mergeCell ref="E285:I285"/>
    <mergeCell ref="E286:I286"/>
    <mergeCell ref="E287:I287"/>
    <mergeCell ref="E288:I288"/>
    <mergeCell ref="E301:I301"/>
    <mergeCell ref="E302:I302"/>
    <mergeCell ref="E303:I303"/>
    <mergeCell ref="E304:I304"/>
    <mergeCell ref="E305:I305"/>
    <mergeCell ref="E306:I306"/>
    <mergeCell ref="E295:I295"/>
    <mergeCell ref="E296:I296"/>
    <mergeCell ref="E297:I297"/>
    <mergeCell ref="E298:I298"/>
    <mergeCell ref="E299:I299"/>
    <mergeCell ref="E300:I300"/>
    <mergeCell ref="E313:I313"/>
    <mergeCell ref="E314:I314"/>
    <mergeCell ref="E315:I315"/>
    <mergeCell ref="E316:I316"/>
    <mergeCell ref="E317:I317"/>
    <mergeCell ref="E318:I318"/>
    <mergeCell ref="E307:I307"/>
    <mergeCell ref="E308:I308"/>
    <mergeCell ref="E309:I309"/>
    <mergeCell ref="E310:I310"/>
    <mergeCell ref="E311:I311"/>
    <mergeCell ref="E312:I312"/>
    <mergeCell ref="E325:I325"/>
    <mergeCell ref="E326:I326"/>
    <mergeCell ref="E327:I327"/>
    <mergeCell ref="E328:I328"/>
    <mergeCell ref="E329:I329"/>
    <mergeCell ref="E330:I330"/>
    <mergeCell ref="E319:I319"/>
    <mergeCell ref="E320:I320"/>
    <mergeCell ref="E321:I321"/>
    <mergeCell ref="E322:I322"/>
    <mergeCell ref="E323:I323"/>
    <mergeCell ref="E324:I324"/>
    <mergeCell ref="E337:I337"/>
    <mergeCell ref="E338:I338"/>
    <mergeCell ref="E339:I339"/>
    <mergeCell ref="E340:I340"/>
    <mergeCell ref="E341:I341"/>
    <mergeCell ref="E342:I342"/>
    <mergeCell ref="E331:I331"/>
    <mergeCell ref="E332:I332"/>
    <mergeCell ref="E333:I333"/>
    <mergeCell ref="E334:I334"/>
    <mergeCell ref="E335:I335"/>
    <mergeCell ref="E336:I336"/>
    <mergeCell ref="E349:I349"/>
    <mergeCell ref="E350:I350"/>
    <mergeCell ref="E351:I351"/>
    <mergeCell ref="E352:I352"/>
    <mergeCell ref="E353:I353"/>
    <mergeCell ref="E354:I354"/>
    <mergeCell ref="E343:I343"/>
    <mergeCell ref="E344:I344"/>
    <mergeCell ref="E345:I345"/>
    <mergeCell ref="E346:I346"/>
    <mergeCell ref="E347:I347"/>
    <mergeCell ref="E348:I348"/>
    <mergeCell ref="E361:I361"/>
    <mergeCell ref="E362:I362"/>
    <mergeCell ref="E363:I363"/>
    <mergeCell ref="E364:I364"/>
    <mergeCell ref="E365:I365"/>
    <mergeCell ref="E366:I366"/>
    <mergeCell ref="E355:I355"/>
    <mergeCell ref="E356:I356"/>
    <mergeCell ref="E357:I357"/>
    <mergeCell ref="E358:I358"/>
    <mergeCell ref="E359:I359"/>
    <mergeCell ref="E360:I360"/>
    <mergeCell ref="E373:I373"/>
    <mergeCell ref="E374:I374"/>
    <mergeCell ref="E375:I375"/>
    <mergeCell ref="E376:I376"/>
    <mergeCell ref="E377:I377"/>
    <mergeCell ref="E378:I378"/>
    <mergeCell ref="E367:I367"/>
    <mergeCell ref="E368:I368"/>
    <mergeCell ref="E369:I369"/>
    <mergeCell ref="E370:I370"/>
    <mergeCell ref="E371:I371"/>
    <mergeCell ref="E372:I372"/>
    <mergeCell ref="E385:I385"/>
    <mergeCell ref="E386:I386"/>
    <mergeCell ref="E387:I387"/>
    <mergeCell ref="E388:I388"/>
    <mergeCell ref="E389:I389"/>
    <mergeCell ref="E390:I390"/>
    <mergeCell ref="E379:I379"/>
    <mergeCell ref="E380:I380"/>
    <mergeCell ref="E381:I381"/>
    <mergeCell ref="E382:I382"/>
    <mergeCell ref="E383:I383"/>
    <mergeCell ref="E384:I384"/>
    <mergeCell ref="E397:I397"/>
    <mergeCell ref="E398:I398"/>
    <mergeCell ref="E399:I399"/>
    <mergeCell ref="E400:I400"/>
    <mergeCell ref="E401:I401"/>
    <mergeCell ref="E402:I402"/>
    <mergeCell ref="E391:I391"/>
    <mergeCell ref="E392:I392"/>
    <mergeCell ref="E393:I393"/>
    <mergeCell ref="E394:I394"/>
    <mergeCell ref="E395:I395"/>
    <mergeCell ref="E396:I396"/>
    <mergeCell ref="E409:I409"/>
    <mergeCell ref="E410:I410"/>
    <mergeCell ref="E411:I411"/>
    <mergeCell ref="E412:I412"/>
    <mergeCell ref="E413:I413"/>
    <mergeCell ref="E414:I414"/>
    <mergeCell ref="E403:I403"/>
    <mergeCell ref="E404:I404"/>
    <mergeCell ref="E405:I405"/>
    <mergeCell ref="E406:I406"/>
    <mergeCell ref="E407:I407"/>
    <mergeCell ref="E408:I408"/>
    <mergeCell ref="E421:I421"/>
    <mergeCell ref="E422:I422"/>
    <mergeCell ref="E423:I423"/>
    <mergeCell ref="E424:I424"/>
    <mergeCell ref="E425:I425"/>
    <mergeCell ref="E426:I426"/>
    <mergeCell ref="E415:I415"/>
    <mergeCell ref="E416:I416"/>
    <mergeCell ref="E417:I417"/>
    <mergeCell ref="E418:I418"/>
    <mergeCell ref="E419:I419"/>
    <mergeCell ref="E420:I420"/>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3" activePane="bottomLeft" state="frozen"/>
      <selection pane="topLeft" activeCell="A1" sqref="A1:B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0" t="s">
        <v>1728</v>
      </c>
      <c r="B1" s="561"/>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2" t="s">
        <v>157</v>
      </c>
      <c r="D2" s="563"/>
      <c r="E2" s="563"/>
      <c r="F2" s="563"/>
      <c r="G2" s="563"/>
      <c r="H2" s="563"/>
      <c r="I2" s="563"/>
      <c r="J2" s="564"/>
      <c r="K2"/>
      <c r="L2">
        <f>SUM(L4:L34)</f>
        <v>0</v>
      </c>
      <c r="M2">
        <f>SUM(M4:M34)</f>
        <v>1</v>
      </c>
      <c r="N2"/>
      <c r="O2"/>
      <c r="P2"/>
      <c r="Q2"/>
      <c r="R2"/>
    </row>
    <row r="3" spans="1:18" s="289" customFormat="1" ht="19.5" customHeight="1">
      <c r="A3" s="566" t="s">
        <v>1429</v>
      </c>
      <c r="B3" s="567"/>
      <c r="C3" s="567"/>
      <c r="D3" s="567"/>
      <c r="E3" s="567"/>
      <c r="F3" s="567"/>
      <c r="G3" s="567"/>
      <c r="H3" s="567"/>
      <c r="I3" s="567"/>
      <c r="J3" s="568"/>
      <c r="K3"/>
      <c r="L3"/>
      <c r="M3"/>
      <c r="N3"/>
      <c r="O3"/>
      <c r="P3"/>
      <c r="Q3"/>
      <c r="R3"/>
    </row>
    <row r="4" spans="1:18" s="289" customFormat="1" ht="63.75" customHeight="1">
      <c r="A4" s="213">
        <v>1</v>
      </c>
      <c r="B4" s="196" t="str">
        <f>IF(L4=1,"Pogreška",IF(M4=1,"Upozorenje","Ispravna"))</f>
        <v>Ispravna</v>
      </c>
      <c r="C4" s="554" t="s">
        <v>2246</v>
      </c>
      <c r="D4" s="555"/>
      <c r="E4" s="555"/>
      <c r="F4" s="555"/>
      <c r="G4" s="555"/>
      <c r="H4" s="555"/>
      <c r="I4" s="555"/>
      <c r="J4" s="555"/>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Upozorenje</v>
      </c>
      <c r="C5" s="554" t="s">
        <v>317</v>
      </c>
      <c r="D5" s="555"/>
      <c r="E5" s="555"/>
      <c r="F5" s="555"/>
      <c r="G5" s="555"/>
      <c r="H5" s="555"/>
      <c r="I5" s="555"/>
      <c r="J5" s="555"/>
      <c r="K5"/>
      <c r="L5">
        <f>MAX(N5:P5)</f>
        <v>0</v>
      </c>
      <c r="M5">
        <f>IF(LEN(RefStr!C13)&lt;&gt;21,1,0)</f>
        <v>1</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4" t="s">
        <v>318</v>
      </c>
      <c r="D6" s="555"/>
      <c r="E6" s="555"/>
      <c r="F6" s="555"/>
      <c r="G6" s="555"/>
      <c r="H6" s="555"/>
      <c r="I6" s="555"/>
      <c r="J6" s="555"/>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6" t="s">
        <v>1478</v>
      </c>
      <c r="D7" s="557"/>
      <c r="E7" s="557"/>
      <c r="F7" s="557"/>
      <c r="G7" s="557"/>
      <c r="H7" s="557"/>
      <c r="I7" s="557"/>
      <c r="J7" s="558"/>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4" t="s">
        <v>1481</v>
      </c>
      <c r="D8" s="555"/>
      <c r="E8" s="555"/>
      <c r="F8" s="555"/>
      <c r="G8" s="555"/>
      <c r="H8" s="555"/>
      <c r="I8" s="555"/>
      <c r="J8" s="555"/>
      <c r="K8"/>
      <c r="L8">
        <f>IF(OR(RefStr!D39="",RefStr!D43="",RefStr!D45=""),1,0)</f>
        <v>0</v>
      </c>
      <c r="M8">
        <v>0</v>
      </c>
      <c r="N8"/>
      <c r="O8"/>
      <c r="P8"/>
      <c r="Q8"/>
      <c r="R8"/>
    </row>
    <row r="9" spans="1:18" s="289" customFormat="1" ht="114.75" customHeight="1">
      <c r="A9" s="214">
        <f t="shared" si="0"/>
        <v>6</v>
      </c>
      <c r="B9" s="196" t="str">
        <f>IF(L9=1,"Pogreška",IF(M9=1,"Upozorenje","Ispravna"))</f>
        <v>Ispravna</v>
      </c>
      <c r="C9" s="565" t="s">
        <v>2611</v>
      </c>
      <c r="D9" s="555"/>
      <c r="E9" s="555"/>
      <c r="F9" s="555"/>
      <c r="G9" s="555"/>
      <c r="H9" s="555"/>
      <c r="I9" s="555"/>
      <c r="J9" s="555"/>
      <c r="K9"/>
      <c r="L9" s="222">
        <f>MAX(N9:O9)</f>
        <v>0</v>
      </c>
      <c r="M9">
        <v>0</v>
      </c>
      <c r="N9" s="222">
        <f>IF(MID(P9,3,1)&lt;&gt;".",1,0)</f>
        <v>0</v>
      </c>
      <c r="O9" s="222">
        <f>IF(MID(P9,7,1)&lt;&gt;",",1,0)</f>
        <v>0</v>
      </c>
      <c r="P9" s="223" t="str">
        <f>TEXT(RefStr!C9+10000.01,"#.##0,00")</f>
        <v>20.000,01</v>
      </c>
      <c r="Q9"/>
      <c r="R9"/>
    </row>
    <row r="10" spans="1:18" s="289" customFormat="1" ht="129.75" customHeight="1">
      <c r="A10" s="214">
        <f t="shared" si="0"/>
        <v>7</v>
      </c>
      <c r="B10" s="196" t="str">
        <f>IF(L10=1,"Pogreška",IF(M10=1,"Upozorenje","Ispravna"))</f>
        <v>Ispravna</v>
      </c>
      <c r="C10" s="565" t="s">
        <v>273</v>
      </c>
      <c r="D10" s="555"/>
      <c r="E10" s="555"/>
      <c r="F10" s="555"/>
      <c r="G10" s="555"/>
      <c r="H10" s="555"/>
      <c r="I10" s="555"/>
      <c r="J10" s="555"/>
      <c r="K10"/>
      <c r="L10">
        <f>MAX(N10:O10)</f>
        <v>0</v>
      </c>
      <c r="M10">
        <v>0</v>
      </c>
      <c r="N10">
        <f>IF(ISERROR(R10),0,1)</f>
        <v>0</v>
      </c>
      <c r="O10" s="222">
        <f>IF(ISERROR(Q10),0,1)</f>
        <v>0</v>
      </c>
      <c r="P10" s="223" t="str">
        <f ca="1">CELL("filename")</f>
        <v>G:\My Drive\Udruga - papirologija\Fina\[neprrofitne 606  2023 -LET (1).xls]Sifre</v>
      </c>
      <c r="Q10" s="223" t="e">
        <f>FIND(".XLSX",UPPER(P10),1)</f>
        <v>#VALUE!</v>
      </c>
      <c r="R10" s="1" t="e">
        <f>FIND(".XLSM",UPPER(P10),1)</f>
        <v>#VALUE!</v>
      </c>
    </row>
    <row r="11" spans="1:18" s="289" customFormat="1" ht="87" customHeight="1">
      <c r="A11" s="214">
        <f t="shared" si="0"/>
        <v>8</v>
      </c>
      <c r="B11" s="196" t="str">
        <f>IF(L11=1,"Pogreška",IF(M11=1,"Upozorenje","Ispravna"))</f>
        <v>Ispravna</v>
      </c>
      <c r="C11" s="554" t="s">
        <v>2075</v>
      </c>
      <c r="D11" s="555"/>
      <c r="E11" s="555"/>
      <c r="F11" s="555"/>
      <c r="G11" s="555"/>
      <c r="H11" s="555"/>
      <c r="I11" s="555"/>
      <c r="J11" s="555"/>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4" t="s">
        <v>2247</v>
      </c>
      <c r="D12" s="555"/>
      <c r="E12" s="555"/>
      <c r="F12" s="555"/>
      <c r="G12" s="555"/>
      <c r="H12" s="555"/>
      <c r="I12" s="555"/>
      <c r="J12" s="555"/>
      <c r="L12">
        <f>IF(ISERROR(RefStr!I21),1,0)</f>
        <v>0</v>
      </c>
      <c r="M12">
        <f>IF(RefStr!I21=0,1,0)</f>
        <v>0</v>
      </c>
    </row>
    <row r="13" spans="1:18" s="289" customFormat="1" ht="19.5" customHeight="1">
      <c r="A13" s="569" t="s">
        <v>1430</v>
      </c>
      <c r="B13" s="570"/>
      <c r="C13" s="570"/>
      <c r="D13" s="570"/>
      <c r="E13" s="570"/>
      <c r="F13" s="570"/>
      <c r="G13" s="570"/>
      <c r="H13" s="570"/>
      <c r="I13" s="570"/>
      <c r="J13" s="552"/>
      <c r="K13"/>
      <c r="L13"/>
      <c r="M13"/>
      <c r="N13"/>
      <c r="O13"/>
      <c r="P13"/>
      <c r="Q13"/>
      <c r="R13"/>
    </row>
    <row r="14" spans="1:13" ht="34.5" customHeight="1">
      <c r="A14" s="213">
        <f>INT(A12)+1</f>
        <v>10</v>
      </c>
      <c r="B14" s="196" t="str">
        <f t="shared" si="1"/>
        <v>Ispravna</v>
      </c>
      <c r="C14" s="554" t="s">
        <v>2449</v>
      </c>
      <c r="D14" s="555"/>
      <c r="E14" s="555"/>
      <c r="F14" s="555"/>
      <c r="G14" s="555"/>
      <c r="H14" s="555"/>
      <c r="I14" s="555"/>
      <c r="J14" s="555"/>
      <c r="L14" s="215">
        <f>IF(OR(PRRAS!J170*PRRAS!J171&lt;&gt;0,PRRAS!K170*PRRAS!K171&lt;&gt;0),1,0)</f>
        <v>0</v>
      </c>
      <c r="M14">
        <v>0</v>
      </c>
    </row>
    <row r="15" spans="1:13" ht="34.5" customHeight="1">
      <c r="A15" s="214">
        <f aca="true" t="shared" si="2" ref="A15:A22">INT(A14)+1</f>
        <v>11</v>
      </c>
      <c r="B15" s="196" t="str">
        <f t="shared" si="1"/>
        <v>Ispravna</v>
      </c>
      <c r="C15" s="556" t="s">
        <v>1256</v>
      </c>
      <c r="D15" s="557"/>
      <c r="E15" s="557"/>
      <c r="F15" s="557"/>
      <c r="G15" s="557"/>
      <c r="H15" s="557"/>
      <c r="I15" s="557"/>
      <c r="J15" s="558"/>
      <c r="K15" s="10"/>
      <c r="L15" s="215">
        <f>IF(MIN(PRRAS!J19:K69,PRRAS!J73:K174,PRRAS!J176:K183,PRRAS!J186:K191,PRRAS!J193:K194)&lt;0,1,0)</f>
        <v>0</v>
      </c>
      <c r="M15">
        <v>0</v>
      </c>
    </row>
    <row r="16" spans="1:17" ht="55.5" customHeight="1">
      <c r="A16" s="214">
        <f t="shared" si="2"/>
        <v>12</v>
      </c>
      <c r="B16" s="196" t="str">
        <f t="shared" si="1"/>
        <v>Ispravna</v>
      </c>
      <c r="C16" s="559" t="s">
        <v>1477</v>
      </c>
      <c r="D16" s="557"/>
      <c r="E16" s="557"/>
      <c r="F16" s="557"/>
      <c r="G16" s="557"/>
      <c r="H16" s="557"/>
      <c r="I16" s="557"/>
      <c r="J16" s="558"/>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6" t="s">
        <v>3076</v>
      </c>
      <c r="D17" s="557"/>
      <c r="E17" s="557"/>
      <c r="F17" s="557"/>
      <c r="G17" s="557"/>
      <c r="H17" s="557"/>
      <c r="I17" s="557"/>
      <c r="J17" s="558"/>
      <c r="L17" s="215">
        <f>IF(PraviPod707!G37&lt;&gt;0,1,0)</f>
        <v>0</v>
      </c>
      <c r="M17">
        <v>0</v>
      </c>
    </row>
    <row r="18" spans="1:13" ht="54" customHeight="1">
      <c r="A18" s="214">
        <f>INT(A17)+1</f>
        <v>14</v>
      </c>
      <c r="B18" s="196" t="str">
        <f>IF(L18=1,"Pogreška",IF(M18=1,"Upozorenje","Ispravna"))</f>
        <v>Ispravna</v>
      </c>
      <c r="C18" s="554" t="s">
        <v>2581</v>
      </c>
      <c r="D18" s="555"/>
      <c r="E18" s="555"/>
      <c r="F18" s="555"/>
      <c r="G18" s="555"/>
      <c r="H18" s="555"/>
      <c r="I18" s="555"/>
      <c r="J18" s="555"/>
      <c r="L18" s="215">
        <f>IF(AND(PraviPod707!G29="12",ABS(PRRAS!J179-PRRAS!K176)&gt;0.01,MAX(PRRAS!J19:J194)&lt;&gt;0),1,0)</f>
        <v>0</v>
      </c>
      <c r="M18">
        <v>0</v>
      </c>
    </row>
    <row r="19" spans="1:18" ht="58.5" customHeight="1">
      <c r="A19" s="214">
        <f t="shared" si="2"/>
        <v>15</v>
      </c>
      <c r="B19" s="196" t="str">
        <f>IF(L19=1,"Pogreška",IF(M19=1,"Upozorenje","Ispravna"))</f>
        <v>Ispravna</v>
      </c>
      <c r="C19" s="554" t="s">
        <v>668</v>
      </c>
      <c r="D19" s="555"/>
      <c r="E19" s="555"/>
      <c r="F19" s="555"/>
      <c r="G19" s="555"/>
      <c r="H19" s="555"/>
      <c r="I19" s="555"/>
      <c r="J19" s="555"/>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4" t="s">
        <v>1144</v>
      </c>
      <c r="D20" s="555"/>
      <c r="E20" s="555"/>
      <c r="F20" s="555"/>
      <c r="G20" s="555"/>
      <c r="H20" s="555"/>
      <c r="I20" s="555"/>
      <c r="J20" s="555"/>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4" t="s">
        <v>669</v>
      </c>
      <c r="D21" s="555"/>
      <c r="E21" s="555"/>
      <c r="F21" s="555"/>
      <c r="G21" s="555"/>
      <c r="H21" s="555"/>
      <c r="I21" s="555"/>
      <c r="J21" s="555"/>
      <c r="L21" s="28">
        <v>0</v>
      </c>
      <c r="M21" s="215">
        <f>IF(OR(PRRAS!J180&gt;1000,PRRAS!K180&gt;1000,PRRAS!J181&gt;1000,PRRAS!K181&gt;1000),1,0)</f>
        <v>0</v>
      </c>
    </row>
    <row r="22" spans="1:17" ht="49.5" customHeight="1">
      <c r="A22" s="214">
        <f t="shared" si="2"/>
        <v>18</v>
      </c>
      <c r="B22" s="196" t="str">
        <f>IF(L22=1,"Pogreška",IF(M22=1,"Upozorenje","Ispravna"))</f>
        <v>Ispravna</v>
      </c>
      <c r="C22" s="554" t="s">
        <v>670</v>
      </c>
      <c r="D22" s="555"/>
      <c r="E22" s="555"/>
      <c r="F22" s="555"/>
      <c r="G22" s="555"/>
      <c r="H22" s="555"/>
      <c r="I22" s="555"/>
      <c r="J22" s="555"/>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69" t="s">
        <v>1432</v>
      </c>
      <c r="B23" s="570"/>
      <c r="C23" s="570"/>
      <c r="D23" s="570"/>
      <c r="E23" s="570"/>
      <c r="F23" s="570"/>
      <c r="G23" s="570"/>
      <c r="H23" s="570"/>
      <c r="I23" s="570"/>
      <c r="J23" s="552"/>
      <c r="K23"/>
      <c r="L23"/>
      <c r="M23"/>
      <c r="N23"/>
      <c r="O23"/>
      <c r="P23"/>
      <c r="Q23"/>
      <c r="R23"/>
    </row>
    <row r="24" spans="1:15" ht="31.5" customHeight="1">
      <c r="A24" s="213">
        <f>INT(A22)+1</f>
        <v>19</v>
      </c>
      <c r="B24" s="196" t="str">
        <f>IF(L24=1,"Pogreška",IF(M24=1,"Upozorenje","Ispravna"))</f>
        <v>Ispravna</v>
      </c>
      <c r="C24" s="556" t="s">
        <v>3077</v>
      </c>
      <c r="D24" s="557"/>
      <c r="E24" s="557"/>
      <c r="F24" s="557"/>
      <c r="G24" s="557"/>
      <c r="H24" s="557"/>
      <c r="I24" s="557"/>
      <c r="J24" s="558"/>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6" t="s">
        <v>2047</v>
      </c>
      <c r="D25" s="557"/>
      <c r="E25" s="557"/>
      <c r="F25" s="557"/>
      <c r="G25" s="557"/>
      <c r="H25" s="557"/>
      <c r="I25" s="557"/>
      <c r="J25" s="558"/>
      <c r="K25" s="10"/>
      <c r="L25" s="215">
        <f>IF(OR(BIL!J218*BIL!J219&lt;&gt;0,BIL!K218*BIL!K219&lt;&gt;0),1,0)</f>
        <v>0</v>
      </c>
      <c r="M25">
        <v>0</v>
      </c>
    </row>
    <row r="26" spans="1:13" ht="66" customHeight="1">
      <c r="A26" s="214">
        <f>INT(A25)+1</f>
        <v>21</v>
      </c>
      <c r="B26" s="196" t="str">
        <f>IF(L26=1,"Pogreška",IF(M26=1,"Upozorenje","Ispravna"))</f>
        <v>Ispravna</v>
      </c>
      <c r="C26" s="556" t="s">
        <v>3076</v>
      </c>
      <c r="D26" s="557"/>
      <c r="E26" s="557"/>
      <c r="F26" s="557"/>
      <c r="G26" s="557"/>
      <c r="H26" s="557"/>
      <c r="I26" s="557"/>
      <c r="J26" s="558"/>
      <c r="L26" s="215">
        <f>IF(PraviPod708!G47&lt;&gt;0,1,0)</f>
        <v>0</v>
      </c>
      <c r="M26">
        <v>0</v>
      </c>
    </row>
    <row r="27" spans="1:13" ht="30" customHeight="1">
      <c r="A27" s="214">
        <f>INT(A26)+1</f>
        <v>22</v>
      </c>
      <c r="B27" s="196" t="str">
        <f>IF(L27=1,"Pogreška",IF(M27=1,"Upozorenje","Ispravna"))</f>
        <v>Ispravna</v>
      </c>
      <c r="C27" s="556" t="s">
        <v>2048</v>
      </c>
      <c r="D27" s="557"/>
      <c r="E27" s="557"/>
      <c r="F27" s="557"/>
      <c r="G27" s="557"/>
      <c r="H27" s="557"/>
      <c r="I27" s="557"/>
      <c r="J27" s="558"/>
      <c r="K27" s="10"/>
      <c r="L27" s="215">
        <f>IF(MIN(BIL!J19:K162,BIL!J164:K213,BIL!J215:K219,BIL!J221:K222)&lt;0,1,0)</f>
        <v>0</v>
      </c>
      <c r="M27">
        <v>0</v>
      </c>
    </row>
    <row r="28" spans="1:18" s="289" customFormat="1" ht="19.5" customHeight="1">
      <c r="A28" s="551" t="s">
        <v>3005</v>
      </c>
      <c r="B28" s="552"/>
      <c r="C28" s="552"/>
      <c r="D28" s="552"/>
      <c r="E28" s="552"/>
      <c r="F28" s="552"/>
      <c r="G28" s="552"/>
      <c r="H28" s="552"/>
      <c r="I28" s="552"/>
      <c r="J28" s="553"/>
      <c r="K28"/>
      <c r="L28"/>
      <c r="M28"/>
      <c r="N28"/>
      <c r="O28"/>
      <c r="P28"/>
      <c r="Q28"/>
      <c r="R28"/>
    </row>
    <row r="29" spans="1:14" ht="82.5" customHeight="1">
      <c r="A29" s="213">
        <f>INT(A27)+1</f>
        <v>23</v>
      </c>
      <c r="B29" s="196" t="str">
        <f aca="true" t="shared" si="3" ref="B29:B34">IF(L29=1,"Pogreška",IF(M29=1,"Upozorenje","Ispravna"))</f>
        <v>Ispravna</v>
      </c>
      <c r="C29" s="554" t="s">
        <v>832</v>
      </c>
      <c r="D29" s="555"/>
      <c r="E29" s="555"/>
      <c r="F29" s="555"/>
      <c r="G29" s="555"/>
      <c r="H29" s="555"/>
      <c r="I29" s="555"/>
      <c r="J29" s="555"/>
      <c r="L29" s="215">
        <f>IF(GPRIZNPF!J33&gt;=230000/7.5345,1,0)</f>
        <v>0</v>
      </c>
      <c r="M29" s="215">
        <f>IF(GPRIZNPF!K33&gt;=230000/7.5345,1,0)</f>
        <v>0</v>
      </c>
      <c r="N29" s="10"/>
    </row>
    <row r="30" spans="1:14" ht="40.5" customHeight="1">
      <c r="A30" s="214">
        <f>INT(A29)+1</f>
        <v>24</v>
      </c>
      <c r="B30" s="196" t="str">
        <f t="shared" si="3"/>
        <v>Ispravna</v>
      </c>
      <c r="C30" s="554" t="s">
        <v>3071</v>
      </c>
      <c r="D30" s="555"/>
      <c r="E30" s="555"/>
      <c r="F30" s="555"/>
      <c r="G30" s="555"/>
      <c r="H30" s="555"/>
      <c r="I30" s="555"/>
      <c r="J30" s="555"/>
      <c r="L30" s="215">
        <f>IF(N30&lt;0,1,0)</f>
        <v>0</v>
      </c>
      <c r="M30">
        <v>0</v>
      </c>
      <c r="N30" s="10">
        <f>MIN(GPRIZNPF!J19:K47,GPRIZNPF!J49:K60)</f>
        <v>0</v>
      </c>
    </row>
    <row r="31" spans="1:15" ht="71.25" customHeight="1">
      <c r="A31" s="214">
        <f>INT(A30)+1</f>
        <v>25</v>
      </c>
      <c r="B31" s="196" t="str">
        <f t="shared" si="3"/>
        <v>Ispravna</v>
      </c>
      <c r="C31" s="554" t="s">
        <v>2076</v>
      </c>
      <c r="D31" s="555"/>
      <c r="E31" s="555"/>
      <c r="F31" s="555"/>
      <c r="G31" s="555"/>
      <c r="H31" s="555"/>
      <c r="I31" s="555"/>
      <c r="J31" s="555"/>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9" t="s">
        <v>2612</v>
      </c>
      <c r="D32" s="557"/>
      <c r="E32" s="557"/>
      <c r="F32" s="557"/>
      <c r="G32" s="557"/>
      <c r="H32" s="557"/>
      <c r="I32" s="557"/>
      <c r="J32" s="558"/>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4" t="s">
        <v>1288</v>
      </c>
      <c r="D33" s="555"/>
      <c r="E33" s="555"/>
      <c r="F33" s="555"/>
      <c r="G33" s="555"/>
      <c r="H33" s="555"/>
      <c r="I33" s="555"/>
      <c r="J33" s="555"/>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4" t="s">
        <v>2077</v>
      </c>
      <c r="D34" s="555"/>
      <c r="E34" s="555"/>
      <c r="F34" s="555"/>
      <c r="G34" s="555"/>
      <c r="H34" s="555"/>
      <c r="I34" s="555"/>
      <c r="J34" s="555"/>
      <c r="L34">
        <v>0</v>
      </c>
      <c r="M34" s="242">
        <f>MAX(N34:O34)</f>
        <v>0</v>
      </c>
      <c r="N34" s="10">
        <f>IF(AND(GPRIZNPF!J39&gt;0,GPRIZNPF!J58=0),1,0)</f>
        <v>0</v>
      </c>
      <c r="O34" s="10">
        <f>IF(AND(GPRIZNPF!K39&gt;0,GPRIZNPF!K58=0),1,0)</f>
        <v>0</v>
      </c>
    </row>
    <row r="35" ht="12.75"/>
  </sheetData>
  <sheetProtection password="C79A" sheet="1" objects="1" scenarios="1"/>
  <mergeCells count="34">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C33:J33"/>
    <mergeCell ref="C29:J29"/>
    <mergeCell ref="A1:B1"/>
    <mergeCell ref="C11:J11"/>
    <mergeCell ref="C2:J2"/>
    <mergeCell ref="C4:J4"/>
    <mergeCell ref="C8:J8"/>
    <mergeCell ref="C10:J10"/>
    <mergeCell ref="A3:J3"/>
    <mergeCell ref="C5:J5"/>
    <mergeCell ref="C9:J9"/>
    <mergeCell ref="C7:J7"/>
    <mergeCell ref="A28:J28"/>
    <mergeCell ref="C21:J21"/>
    <mergeCell ref="C22:J22"/>
    <mergeCell ref="C15:J15"/>
    <mergeCell ref="C17:J17"/>
    <mergeCell ref="C16:J16"/>
    <mergeCell ref="C24:J24"/>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7" t="s">
        <v>347</v>
      </c>
      <c r="B2" s="578"/>
      <c r="C2" s="578"/>
      <c r="D2" s="578"/>
      <c r="E2" s="578"/>
      <c r="F2" s="578"/>
      <c r="G2" s="578"/>
      <c r="H2" s="578"/>
      <c r="I2" s="579"/>
    </row>
    <row r="3" spans="1:9" ht="18" customHeight="1">
      <c r="A3" s="15" t="s">
        <v>2417</v>
      </c>
      <c r="B3" s="580" t="s">
        <v>346</v>
      </c>
      <c r="C3" s="581"/>
      <c r="D3" s="581"/>
      <c r="E3" s="581"/>
      <c r="F3" s="581"/>
      <c r="G3" s="581"/>
      <c r="H3" s="581"/>
      <c r="I3" s="582"/>
    </row>
    <row r="4" spans="1:9" ht="19.5" customHeight="1" hidden="1">
      <c r="A4" s="16" t="s">
        <v>1148</v>
      </c>
      <c r="B4" s="571" t="s">
        <v>1085</v>
      </c>
      <c r="C4" s="572"/>
      <c r="D4" s="572"/>
      <c r="E4" s="572"/>
      <c r="F4" s="572"/>
      <c r="G4" s="572"/>
      <c r="H4" s="572"/>
      <c r="I4" s="573"/>
    </row>
    <row r="5" spans="1:9" ht="35.25" customHeight="1" hidden="1">
      <c r="A5" s="16" t="s">
        <v>2692</v>
      </c>
      <c r="B5" s="571" t="s">
        <v>2693</v>
      </c>
      <c r="C5" s="572"/>
      <c r="D5" s="572"/>
      <c r="E5" s="572"/>
      <c r="F5" s="572"/>
      <c r="G5" s="572"/>
      <c r="H5" s="572"/>
      <c r="I5" s="573"/>
    </row>
    <row r="6" spans="1:9" ht="35.25" customHeight="1" hidden="1">
      <c r="A6" s="16" t="s">
        <v>153</v>
      </c>
      <c r="B6" s="571" t="s">
        <v>154</v>
      </c>
      <c r="C6" s="572"/>
      <c r="D6" s="572"/>
      <c r="E6" s="572"/>
      <c r="F6" s="572"/>
      <c r="G6" s="572"/>
      <c r="H6" s="572"/>
      <c r="I6" s="573"/>
    </row>
    <row r="7" spans="1:9" ht="45" customHeight="1" hidden="1">
      <c r="A7" s="16" t="s">
        <v>155</v>
      </c>
      <c r="B7" s="571" t="s">
        <v>1297</v>
      </c>
      <c r="C7" s="572"/>
      <c r="D7" s="572"/>
      <c r="E7" s="572"/>
      <c r="F7" s="572"/>
      <c r="G7" s="572"/>
      <c r="H7" s="572"/>
      <c r="I7" s="573"/>
    </row>
    <row r="8" spans="1:9" ht="62.25" customHeight="1" hidden="1">
      <c r="A8" s="16" t="s">
        <v>985</v>
      </c>
      <c r="B8" s="571" t="s">
        <v>792</v>
      </c>
      <c r="C8" s="572"/>
      <c r="D8" s="572"/>
      <c r="E8" s="572"/>
      <c r="F8" s="572"/>
      <c r="G8" s="572"/>
      <c r="H8" s="572"/>
      <c r="I8" s="573"/>
    </row>
    <row r="9" spans="1:9" ht="25.5" customHeight="1" hidden="1">
      <c r="A9" s="16" t="s">
        <v>2654</v>
      </c>
      <c r="B9" s="571" t="s">
        <v>2655</v>
      </c>
      <c r="C9" s="572"/>
      <c r="D9" s="572"/>
      <c r="E9" s="572"/>
      <c r="F9" s="572"/>
      <c r="G9" s="572"/>
      <c r="H9" s="572"/>
      <c r="I9" s="573"/>
    </row>
    <row r="10" spans="1:9" ht="25.5" customHeight="1" hidden="1">
      <c r="A10" s="245" t="s">
        <v>1362</v>
      </c>
      <c r="B10" s="574" t="s">
        <v>1363</v>
      </c>
      <c r="C10" s="575"/>
      <c r="D10" s="575"/>
      <c r="E10" s="575"/>
      <c r="F10" s="575"/>
      <c r="G10" s="575"/>
      <c r="H10" s="575"/>
      <c r="I10" s="576"/>
    </row>
    <row r="11" spans="1:9" ht="45" customHeight="1" hidden="1">
      <c r="A11" s="245" t="s">
        <v>2729</v>
      </c>
      <c r="B11" s="574" t="s">
        <v>2698</v>
      </c>
      <c r="C11" s="575"/>
      <c r="D11" s="575"/>
      <c r="E11" s="575"/>
      <c r="F11" s="575"/>
      <c r="G11" s="575"/>
      <c r="H11" s="575"/>
      <c r="I11" s="576"/>
    </row>
    <row r="12" spans="1:9" ht="30.75" customHeight="1">
      <c r="A12" s="255" t="s">
        <v>2447</v>
      </c>
      <c r="B12" s="574" t="s">
        <v>2448</v>
      </c>
      <c r="C12" s="575"/>
      <c r="D12" s="575"/>
      <c r="E12" s="575"/>
      <c r="F12" s="575"/>
      <c r="G12" s="575"/>
      <c r="H12" s="575"/>
      <c r="I12" s="576"/>
    </row>
    <row r="13" spans="1:9" ht="30.75" customHeight="1">
      <c r="A13" s="255" t="s">
        <v>1329</v>
      </c>
      <c r="B13" s="574" t="s">
        <v>1330</v>
      </c>
      <c r="C13" s="575"/>
      <c r="D13" s="575"/>
      <c r="E13" s="575"/>
      <c r="F13" s="575"/>
      <c r="G13" s="575"/>
      <c r="H13" s="575"/>
      <c r="I13" s="576"/>
    </row>
    <row r="14" spans="1:9" ht="30.75" customHeight="1">
      <c r="A14" s="255" t="s">
        <v>91</v>
      </c>
      <c r="B14" s="574" t="s">
        <v>92</v>
      </c>
      <c r="C14" s="575"/>
      <c r="D14" s="575"/>
      <c r="E14" s="575"/>
      <c r="F14" s="575"/>
      <c r="G14" s="575"/>
      <c r="H14" s="575"/>
      <c r="I14" s="576"/>
    </row>
    <row r="15" spans="1:9" ht="30.75" customHeight="1">
      <c r="A15" s="255" t="s">
        <v>2825</v>
      </c>
      <c r="B15" s="574" t="s">
        <v>2826</v>
      </c>
      <c r="C15" s="575"/>
      <c r="D15" s="575"/>
      <c r="E15" s="575"/>
      <c r="F15" s="575"/>
      <c r="G15" s="575"/>
      <c r="H15" s="575"/>
      <c r="I15" s="576"/>
    </row>
    <row r="16" spans="1:9" ht="62.25" customHeight="1">
      <c r="A16" s="255" t="s">
        <v>1476</v>
      </c>
      <c r="B16" s="574" t="s">
        <v>3087</v>
      </c>
      <c r="C16" s="575"/>
      <c r="D16" s="575"/>
      <c r="E16" s="575"/>
      <c r="F16" s="575"/>
      <c r="G16" s="575"/>
      <c r="H16" s="575"/>
      <c r="I16" s="576"/>
    </row>
    <row r="17" spans="1:9" ht="28.5" customHeight="1">
      <c r="A17" s="255" t="s">
        <v>1286</v>
      </c>
      <c r="B17" s="574" t="s">
        <v>1287</v>
      </c>
      <c r="C17" s="575"/>
      <c r="D17" s="575"/>
      <c r="E17" s="575"/>
      <c r="F17" s="575"/>
      <c r="G17" s="575"/>
      <c r="H17" s="575"/>
      <c r="I17" s="576"/>
    </row>
    <row r="18" spans="1:9" ht="28.5" customHeight="1">
      <c r="A18" s="255" t="s">
        <v>2261</v>
      </c>
      <c r="B18" s="574" t="s">
        <v>2262</v>
      </c>
      <c r="C18" s="575"/>
      <c r="D18" s="575"/>
      <c r="E18" s="575"/>
      <c r="F18" s="575"/>
      <c r="G18" s="575"/>
      <c r="H18" s="575"/>
      <c r="I18" s="576"/>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65536">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36" t="s">
        <v>3017</v>
      </c>
      <c r="C2" s="337"/>
      <c r="D2" s="337"/>
      <c r="E2" s="337"/>
      <c r="F2" s="337"/>
      <c r="G2" s="337"/>
      <c r="H2" s="337"/>
      <c r="I2" s="337"/>
      <c r="J2" s="338"/>
    </row>
    <row r="3" spans="2:10" s="1" customFormat="1" ht="16.5" customHeight="1">
      <c r="B3" s="339" t="str">
        <f>"Verzija Excel datoteke: "&amp;MID(PraviPod707!G30,1,1)&amp;"."&amp;MID(PraviPod707!G30,2,1)&amp;"."&amp;MID(PraviPod707!G30,3,1)&amp;"."</f>
        <v>Verzija Excel datoteke: 6.0.6.</v>
      </c>
      <c r="C3" s="337"/>
      <c r="D3" s="337"/>
      <c r="E3" s="337"/>
      <c r="F3" s="337"/>
      <c r="G3" s="337"/>
      <c r="H3" s="337"/>
      <c r="I3" s="337"/>
      <c r="J3" s="338"/>
    </row>
    <row r="4" spans="2:10" ht="59.25" customHeight="1">
      <c r="B4" s="340" t="s">
        <v>93</v>
      </c>
      <c r="C4" s="341"/>
      <c r="D4" s="341"/>
      <c r="E4" s="341"/>
      <c r="F4" s="341"/>
      <c r="G4" s="341"/>
      <c r="H4" s="341"/>
      <c r="I4" s="341"/>
      <c r="J4" s="342"/>
    </row>
    <row r="5" spans="2:10" ht="59.25" customHeight="1">
      <c r="B5" s="349" t="s">
        <v>1147</v>
      </c>
      <c r="C5" s="350"/>
      <c r="D5" s="350"/>
      <c r="E5" s="350"/>
      <c r="F5" s="350"/>
      <c r="G5" s="350"/>
      <c r="H5" s="350"/>
      <c r="I5" s="350"/>
      <c r="J5" s="351"/>
    </row>
    <row r="6" spans="2:10" ht="53.25" customHeight="1">
      <c r="B6" s="346" t="s">
        <v>2063</v>
      </c>
      <c r="C6" s="347"/>
      <c r="D6" s="347"/>
      <c r="E6" s="347"/>
      <c r="F6" s="347"/>
      <c r="G6" s="347"/>
      <c r="H6" s="347"/>
      <c r="I6" s="347"/>
      <c r="J6" s="348"/>
    </row>
    <row r="7" spans="2:10" ht="72.75" customHeight="1">
      <c r="B7" s="343" t="s">
        <v>2450</v>
      </c>
      <c r="C7" s="344"/>
      <c r="D7" s="344"/>
      <c r="E7" s="344"/>
      <c r="F7" s="344"/>
      <c r="G7" s="344"/>
      <c r="H7" s="344"/>
      <c r="I7" s="344"/>
      <c r="J7" s="345"/>
    </row>
    <row r="8" spans="2:10" ht="72" customHeight="1">
      <c r="B8" s="327" t="s">
        <v>2812</v>
      </c>
      <c r="C8" s="328"/>
      <c r="D8" s="328"/>
      <c r="E8" s="328"/>
      <c r="F8" s="328"/>
      <c r="G8" s="328"/>
      <c r="H8" s="328"/>
      <c r="I8" s="328"/>
      <c r="J8" s="329"/>
    </row>
    <row r="9" spans="2:10" ht="34.5" customHeight="1">
      <c r="B9" s="330" t="s">
        <v>2813</v>
      </c>
      <c r="C9" s="328"/>
      <c r="D9" s="328"/>
      <c r="E9" s="328"/>
      <c r="F9" s="328"/>
      <c r="G9" s="328"/>
      <c r="H9" s="328"/>
      <c r="I9" s="328"/>
      <c r="J9" s="329"/>
    </row>
    <row r="10" spans="2:10" ht="84" customHeight="1">
      <c r="B10" s="327" t="s">
        <v>2101</v>
      </c>
      <c r="C10" s="328"/>
      <c r="D10" s="328"/>
      <c r="E10" s="328"/>
      <c r="F10" s="328"/>
      <c r="G10" s="328"/>
      <c r="H10" s="328"/>
      <c r="I10" s="328"/>
      <c r="J10" s="329"/>
    </row>
    <row r="11" spans="2:10" ht="57" customHeight="1">
      <c r="B11" s="330" t="s">
        <v>2691</v>
      </c>
      <c r="C11" s="328"/>
      <c r="D11" s="328"/>
      <c r="E11" s="328"/>
      <c r="F11" s="328"/>
      <c r="G11" s="328"/>
      <c r="H11" s="328"/>
      <c r="I11" s="328"/>
      <c r="J11" s="329"/>
    </row>
    <row r="12" spans="2:10" ht="72" customHeight="1">
      <c r="B12" s="330" t="s">
        <v>1146</v>
      </c>
      <c r="C12" s="328"/>
      <c r="D12" s="328"/>
      <c r="E12" s="328"/>
      <c r="F12" s="328"/>
      <c r="G12" s="328"/>
      <c r="H12" s="328"/>
      <c r="I12" s="328"/>
      <c r="J12" s="329"/>
    </row>
    <row r="13" spans="2:10" ht="87.75" customHeight="1">
      <c r="B13" s="330" t="s">
        <v>1699</v>
      </c>
      <c r="C13" s="334"/>
      <c r="D13" s="334"/>
      <c r="E13" s="334"/>
      <c r="F13" s="334"/>
      <c r="G13" s="334"/>
      <c r="H13" s="334"/>
      <c r="I13" s="334"/>
      <c r="J13" s="335"/>
    </row>
    <row r="14" spans="2:10" ht="69" customHeight="1">
      <c r="B14" s="330" t="s">
        <v>1573</v>
      </c>
      <c r="C14" s="328"/>
      <c r="D14" s="328"/>
      <c r="E14" s="328"/>
      <c r="F14" s="328"/>
      <c r="G14" s="328"/>
      <c r="H14" s="328"/>
      <c r="I14" s="328"/>
      <c r="J14" s="329"/>
    </row>
    <row r="15" spans="2:10" ht="98.25" customHeight="1">
      <c r="B15" s="331" t="s">
        <v>2074</v>
      </c>
      <c r="C15" s="332"/>
      <c r="D15" s="332"/>
      <c r="E15" s="332"/>
      <c r="F15" s="332"/>
      <c r="G15" s="332"/>
      <c r="H15" s="332"/>
      <c r="I15" s="332"/>
      <c r="J15" s="333"/>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74059.59</v>
      </c>
      <c r="C2" s="7">
        <f>ROUND(PRRAS!K19,2)</f>
        <v>113708.65</v>
      </c>
      <c r="D2" s="7">
        <v>0</v>
      </c>
      <c r="E2" s="7">
        <v>0</v>
      </c>
      <c r="F2" s="257">
        <f>A2/100*B2+A2/50*C2</f>
        <v>3014.7689</v>
      </c>
      <c r="G2" s="9">
        <f>TRIM(UPPER(RefStr!C13))</f>
      </c>
      <c r="H2" s="13">
        <v>0</v>
      </c>
      <c r="I2" s="9" t="s">
        <v>1319</v>
      </c>
      <c r="J2" s="8">
        <f>ABS(B2-ROUND(B2,2))+ABS(C2-ROUND(C2,2))</f>
        <v>0</v>
      </c>
    </row>
    <row r="3" spans="1:10" ht="12.75">
      <c r="A3" s="5">
        <f>PRRAS!I20</f>
        <v>2</v>
      </c>
      <c r="B3" s="7">
        <f>ROUND(PRRAS!J20,2)</f>
        <v>0</v>
      </c>
      <c r="C3" s="7">
        <f>ROUND(PRRAS!K20,2)</f>
        <v>0</v>
      </c>
      <c r="D3" s="7">
        <v>0</v>
      </c>
      <c r="E3" s="7">
        <v>0</v>
      </c>
      <c r="F3" s="257">
        <f>A3/100*B3+A3/50*C3</f>
        <v>0</v>
      </c>
      <c r="G3" s="6" t="str">
        <f>TEXT(INT(VALUE(RefStr!J11)),"00000000")</f>
        <v>01692569</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UDRUGA LET</v>
      </c>
      <c r="I4" s="9" t="s">
        <v>1321</v>
      </c>
      <c r="J4" s="8">
        <f t="shared" si="0"/>
        <v>0</v>
      </c>
    </row>
    <row r="5" spans="1:10" ht="12.75">
      <c r="A5" s="5">
        <f>PRRAS!I22</f>
        <v>4</v>
      </c>
      <c r="B5" s="7">
        <f>ROUND(PRRAS!J22,2)</f>
        <v>0</v>
      </c>
      <c r="C5" s="7">
        <f>ROUND(PRRAS!K22,2)</f>
        <v>0</v>
      </c>
      <c r="D5" s="7">
        <v>0</v>
      </c>
      <c r="E5" s="7">
        <v>0</v>
      </c>
      <c r="F5" s="257">
        <f t="shared" si="1"/>
        <v>0</v>
      </c>
      <c r="G5" s="6" t="str">
        <f>TEXT(INT(VALUE(RefStr!C9)),"00000")</f>
        <v>10000</v>
      </c>
      <c r="I5" s="9" t="s">
        <v>1322</v>
      </c>
      <c r="J5" s="8">
        <f t="shared" si="0"/>
        <v>0</v>
      </c>
    </row>
    <row r="6" spans="1:10" ht="12.75">
      <c r="A6" s="5">
        <f>PRRAS!I23</f>
        <v>5</v>
      </c>
      <c r="B6" s="7">
        <f>ROUND(PRRAS!J23,2)</f>
        <v>0</v>
      </c>
      <c r="C6" s="7">
        <f>ROUND(PRRAS!K23,2)</f>
        <v>0</v>
      </c>
      <c r="D6" s="7">
        <v>0</v>
      </c>
      <c r="E6" s="7">
        <v>0</v>
      </c>
      <c r="F6" s="257">
        <f t="shared" si="1"/>
        <v>0</v>
      </c>
      <c r="G6" s="6" t="str">
        <f>IF(ISERROR(RefStr!E9),"-",UPPER(TRIM(RefStr!E9)))</f>
        <v>ZAGREB</v>
      </c>
      <c r="I6" s="9" t="s">
        <v>1323</v>
      </c>
      <c r="J6" s="8">
        <f t="shared" si="0"/>
        <v>0</v>
      </c>
    </row>
    <row r="7" spans="1:10" ht="12.75">
      <c r="A7" s="5">
        <f>PRRAS!I24</f>
        <v>6</v>
      </c>
      <c r="B7" s="7">
        <f>ROUND(PRRAS!J24,2)</f>
        <v>0</v>
      </c>
      <c r="C7" s="7">
        <f>ROUND(PRRAS!K24,2)</f>
        <v>0</v>
      </c>
      <c r="D7" s="7">
        <v>0</v>
      </c>
      <c r="E7" s="7">
        <v>0</v>
      </c>
      <c r="F7" s="257">
        <f t="shared" si="1"/>
        <v>0</v>
      </c>
      <c r="G7" s="6" t="str">
        <f>IF(ISERROR(RefStr!C11),"-",(TRIM(RefStr!C11)))</f>
        <v>RATARSKA 7</v>
      </c>
      <c r="I7" s="9" t="s">
        <v>1324</v>
      </c>
      <c r="J7" s="8">
        <f t="shared" si="0"/>
        <v>0</v>
      </c>
    </row>
    <row r="8" spans="1:10" ht="12.75">
      <c r="A8" s="5">
        <f>PRRAS!I25</f>
        <v>7</v>
      </c>
      <c r="B8" s="7">
        <f>ROUND(PRRAS!J25,2)</f>
        <v>0</v>
      </c>
      <c r="C8" s="7">
        <f>ROUND(PRRAS!K25,2)</f>
        <v>0</v>
      </c>
      <c r="D8" s="7">
        <v>0</v>
      </c>
      <c r="E8" s="7">
        <v>0</v>
      </c>
      <c r="F8" s="257">
        <f t="shared" si="1"/>
        <v>0</v>
      </c>
      <c r="G8" s="6" t="str">
        <f>TEXT(INT(VALUE(RefStr!C15)),"0000")</f>
        <v>9499</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21</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133</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0.26</v>
      </c>
      <c r="C12" s="7">
        <f>ROUND(PRRAS!K29,2)</f>
        <v>6.84</v>
      </c>
      <c r="D12" s="7">
        <v>0</v>
      </c>
      <c r="E12" s="7">
        <v>0</v>
      </c>
      <c r="F12" s="257">
        <f t="shared" si="1"/>
        <v>1.5333999999999999</v>
      </c>
      <c r="G12" s="6" t="s">
        <v>345</v>
      </c>
      <c r="I12" s="11" t="s">
        <v>970</v>
      </c>
      <c r="J12" s="8">
        <f t="shared" si="0"/>
        <v>0</v>
      </c>
    </row>
    <row r="13" spans="1:10" ht="12.75">
      <c r="A13" s="5">
        <f>PRRAS!I30</f>
        <v>12</v>
      </c>
      <c r="B13" s="7">
        <f>ROUND(PRRAS!J30,2)</f>
        <v>0.26</v>
      </c>
      <c r="C13" s="7">
        <f>ROUND(PRRAS!K30,2)</f>
        <v>6.84</v>
      </c>
      <c r="D13" s="7">
        <v>0</v>
      </c>
      <c r="E13" s="7">
        <v>0</v>
      </c>
      <c r="F13" s="257">
        <f t="shared" si="1"/>
        <v>1.6727999999999998</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0.26</v>
      </c>
      <c r="C16" s="7">
        <f>ROUND(PRRAS!K33,2)</f>
        <v>6.84</v>
      </c>
      <c r="D16" s="7">
        <v>0</v>
      </c>
      <c r="E16" s="7">
        <v>0</v>
      </c>
      <c r="F16" s="257">
        <f t="shared" si="1"/>
        <v>2.091</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0</v>
      </c>
      <c r="D18" s="7">
        <v>0</v>
      </c>
      <c r="E18" s="7">
        <v>0</v>
      </c>
      <c r="F18" s="257">
        <f t="shared" si="1"/>
        <v>0</v>
      </c>
      <c r="G18" s="6" t="str">
        <f>IF(ISERROR(RefStr!D39),"-",UPPER(TRIM(RefStr!D39)))</f>
        <v>IVA JOVOVIĆ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MIRA DRAGOSAVAC M.</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01/3632349</v>
      </c>
      <c r="I21" s="9" t="s">
        <v>979</v>
      </c>
      <c r="J21" s="8">
        <f t="shared" si="0"/>
        <v>0</v>
      </c>
    </row>
    <row r="22" spans="1:10" ht="12.75">
      <c r="A22" s="5">
        <f>PRRAS!I39</f>
        <v>21</v>
      </c>
      <c r="B22" s="7">
        <f>ROUND(PRRAS!J39,2)</f>
        <v>0</v>
      </c>
      <c r="C22" s="7">
        <f>ROUND(PRRAS!K39,2)</f>
        <v>0</v>
      </c>
      <c r="D22" s="7">
        <v>0</v>
      </c>
      <c r="E22" s="7">
        <v>0</v>
      </c>
      <c r="F22" s="257">
        <f t="shared" si="1"/>
        <v>0</v>
      </c>
      <c r="G22" s="6" t="str">
        <f>IF(ISERROR(RefStr!D47),"-",UPPER(TRIM(RefStr!D47)))</f>
        <v>01/3632349</v>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let@udruga-let.hr</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74059.33</v>
      </c>
      <c r="C25" s="7">
        <f>ROUND(PRRAS!K42,2)</f>
        <v>113701.81</v>
      </c>
      <c r="D25" s="7">
        <v>0</v>
      </c>
      <c r="E25" s="7">
        <v>0</v>
      </c>
      <c r="F25" s="257">
        <f t="shared" si="1"/>
        <v>72351.108</v>
      </c>
      <c r="I25" s="11" t="s">
        <v>983</v>
      </c>
      <c r="J25" s="8">
        <f t="shared" si="0"/>
        <v>0</v>
      </c>
    </row>
    <row r="26" spans="1:10" ht="12.75">
      <c r="A26" s="5">
        <f>PRRAS!I43</f>
        <v>25</v>
      </c>
      <c r="B26" s="7">
        <f>ROUND(PRRAS!J43,2)</f>
        <v>74059.33</v>
      </c>
      <c r="C26" s="7">
        <f>ROUND(PRRAS!K43,2)</f>
        <v>113589.12</v>
      </c>
      <c r="D26" s="7">
        <v>0</v>
      </c>
      <c r="E26" s="7">
        <v>0</v>
      </c>
      <c r="F26" s="257">
        <f t="shared" si="1"/>
        <v>75309.3925</v>
      </c>
      <c r="G26" s="6" t="str">
        <f>MID(TRIM(RefStr!J15),1,4)</f>
        <v>2023</v>
      </c>
      <c r="I26" s="9" t="s">
        <v>984</v>
      </c>
      <c r="J26" s="8">
        <f t="shared" si="0"/>
        <v>0</v>
      </c>
    </row>
    <row r="27" spans="1:10" ht="12.75">
      <c r="A27" s="5">
        <f>PRRAS!I44</f>
        <v>26</v>
      </c>
      <c r="B27" s="7">
        <f>ROUND(PRRAS!J44,2)</f>
        <v>67423.19</v>
      </c>
      <c r="C27" s="7">
        <f>ROUND(PRRAS!K44,2)</f>
        <v>106289.12</v>
      </c>
      <c r="D27" s="7">
        <v>0</v>
      </c>
      <c r="E27" s="7">
        <v>0</v>
      </c>
      <c r="F27" s="257">
        <f t="shared" si="1"/>
        <v>72800.3718</v>
      </c>
      <c r="G27" s="211">
        <f>SUM(F2:F172)</f>
        <v>3635592.4436</v>
      </c>
      <c r="I27" s="9" t="s">
        <v>333</v>
      </c>
      <c r="J27" s="8">
        <f t="shared" si="0"/>
        <v>0</v>
      </c>
    </row>
    <row r="28" spans="1:10" ht="12.75">
      <c r="A28" s="5">
        <f>PRRAS!I45</f>
        <v>27</v>
      </c>
      <c r="B28" s="7">
        <f>ROUND(PRRAS!J45,2)</f>
        <v>6636.14</v>
      </c>
      <c r="C28" s="7">
        <f>ROUND(PRRAS!K45,2)</f>
        <v>7300</v>
      </c>
      <c r="D28" s="7">
        <v>0</v>
      </c>
      <c r="E28" s="7">
        <v>0</v>
      </c>
      <c r="F28" s="257">
        <f t="shared" si="1"/>
        <v>5733.757800000001</v>
      </c>
      <c r="G28" s="6" t="s">
        <v>345</v>
      </c>
      <c r="H28" s="14"/>
      <c r="I28" s="9" t="s">
        <v>334</v>
      </c>
      <c r="J28" s="8">
        <f t="shared" si="0"/>
        <v>0</v>
      </c>
    </row>
    <row r="29" spans="1:10" ht="12.75">
      <c r="A29" s="5">
        <f>PRRAS!I46</f>
        <v>28</v>
      </c>
      <c r="B29" s="7">
        <f>ROUND(PRRAS!J46,2)</f>
        <v>0</v>
      </c>
      <c r="C29" s="7">
        <f>ROUND(PRRAS!K46,2)</f>
        <v>0</v>
      </c>
      <c r="D29" s="7">
        <v>0</v>
      </c>
      <c r="E29" s="7">
        <v>0</v>
      </c>
      <c r="F29" s="257">
        <f t="shared" si="1"/>
        <v>0</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0</v>
      </c>
      <c r="C34" s="7">
        <f>ROUND(PRRAS!K51,2)</f>
        <v>0</v>
      </c>
      <c r="D34" s="7">
        <v>0</v>
      </c>
      <c r="E34" s="7">
        <v>0</v>
      </c>
      <c r="F34" s="257">
        <f t="shared" si="1"/>
        <v>0</v>
      </c>
      <c r="G34" s="6">
        <v>0</v>
      </c>
      <c r="I34" s="9" t="s">
        <v>340</v>
      </c>
      <c r="J34" s="8">
        <f t="shared" si="0"/>
        <v>0</v>
      </c>
    </row>
    <row r="35" spans="1:10" ht="12.75">
      <c r="A35" s="5">
        <f>PRRAS!I52</f>
        <v>34</v>
      </c>
      <c r="B35" s="7">
        <f>ROUND(PRRAS!J52,2)</f>
        <v>0</v>
      </c>
      <c r="C35" s="7">
        <f>ROUND(PRRAS!K52,2)</f>
        <v>0</v>
      </c>
      <c r="D35" s="7">
        <v>0</v>
      </c>
      <c r="E35" s="7">
        <v>0</v>
      </c>
      <c r="F35" s="257">
        <f t="shared" si="1"/>
        <v>0</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0</v>
      </c>
      <c r="C37" s="7">
        <f>ROUND(PRRAS!K54,2)</f>
        <v>112.69</v>
      </c>
      <c r="D37" s="7">
        <v>0</v>
      </c>
      <c r="E37" s="7">
        <v>0</v>
      </c>
      <c r="F37" s="257">
        <f t="shared" si="1"/>
        <v>81.1368</v>
      </c>
      <c r="G37" s="8">
        <f>SUM(J2:J49)</f>
        <v>0</v>
      </c>
      <c r="I37" s="9" t="s">
        <v>343</v>
      </c>
      <c r="J37" s="8">
        <f t="shared" si="0"/>
        <v>0</v>
      </c>
    </row>
    <row r="38" spans="1:10" ht="12.75">
      <c r="A38" s="5">
        <f>PRRAS!I55</f>
        <v>37</v>
      </c>
      <c r="B38" s="7">
        <f>ROUND(PRRAS!J55,2)</f>
        <v>0</v>
      </c>
      <c r="C38" s="7">
        <f>ROUND(PRRAS!K55,2)</f>
        <v>0</v>
      </c>
      <c r="D38" s="7">
        <v>0</v>
      </c>
      <c r="E38" s="7">
        <v>0</v>
      </c>
      <c r="F38" s="257">
        <f t="shared" si="1"/>
        <v>0</v>
      </c>
      <c r="G38" s="6" t="str">
        <f>TEXT(INT(VALUE(RefStr!J13)),"00000000000")</f>
        <v>80621111596</v>
      </c>
      <c r="I38" s="9" t="s">
        <v>1103</v>
      </c>
      <c r="J38" s="8">
        <f t="shared" si="0"/>
        <v>0</v>
      </c>
    </row>
    <row r="39" spans="1:10" ht="12.75">
      <c r="A39" s="5">
        <f>PRRAS!I56</f>
        <v>38</v>
      </c>
      <c r="B39" s="7">
        <f>ROUND(PRRAS!J56,2)</f>
        <v>0</v>
      </c>
      <c r="C39" s="7">
        <f>ROUND(PRRAS!K56,2)</f>
        <v>0</v>
      </c>
      <c r="D39" s="7">
        <v>0</v>
      </c>
      <c r="E39" s="7">
        <v>0</v>
      </c>
      <c r="F39" s="257">
        <f t="shared" si="1"/>
        <v>0</v>
      </c>
      <c r="G39" s="6" t="str">
        <f>TEXT(INT(VALUE(RefStr!J9)),"00000")</f>
        <v>81264</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0</v>
      </c>
      <c r="D41" s="7">
        <v>0</v>
      </c>
      <c r="E41" s="7">
        <v>0</v>
      </c>
      <c r="F41" s="257">
        <f t="shared" si="1"/>
        <v>0</v>
      </c>
      <c r="G41" s="6" t="str">
        <f>IF(RefStr!E5&lt;&gt;"",TEXT(RefStr!E5,"YYYYMMDD"),"")</f>
        <v>20230101</v>
      </c>
      <c r="I41" s="9" t="s">
        <v>2749</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13360312.504700001</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0</v>
      </c>
      <c r="D46" s="7">
        <v>0</v>
      </c>
      <c r="E46" s="7">
        <v>0</v>
      </c>
      <c r="F46" s="257">
        <f t="shared" si="1"/>
        <v>0</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0</v>
      </c>
      <c r="D49" s="7">
        <v>0</v>
      </c>
      <c r="E49" s="7">
        <v>0</v>
      </c>
      <c r="F49" s="257">
        <f t="shared" si="1"/>
        <v>0</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126342.39</v>
      </c>
      <c r="C55" s="7">
        <f>ROUND(PRRAS!K73,2)</f>
        <v>75905.16</v>
      </c>
      <c r="D55" s="7">
        <v>0</v>
      </c>
      <c r="E55" s="7">
        <v>0</v>
      </c>
      <c r="F55" s="257">
        <f t="shared" si="1"/>
        <v>150202.4634</v>
      </c>
      <c r="J55" s="8">
        <f t="shared" si="0"/>
        <v>0</v>
      </c>
    </row>
    <row r="56" spans="1:10" ht="12.75">
      <c r="A56" s="5">
        <f>PRRAS!I74</f>
        <v>55</v>
      </c>
      <c r="B56" s="7">
        <f>ROUND(PRRAS!J74,2)</f>
        <v>73043.86</v>
      </c>
      <c r="C56" s="7">
        <f>ROUND(PRRAS!K74,2)</f>
        <v>50154.17</v>
      </c>
      <c r="D56" s="7">
        <v>0</v>
      </c>
      <c r="E56" s="7">
        <v>0</v>
      </c>
      <c r="F56" s="257">
        <f t="shared" si="1"/>
        <v>95343.71</v>
      </c>
      <c r="J56" s="8">
        <f t="shared" si="0"/>
        <v>0</v>
      </c>
    </row>
    <row r="57" spans="1:10" ht="12.75">
      <c r="A57" s="5">
        <f>PRRAS!I75</f>
        <v>56</v>
      </c>
      <c r="B57" s="7">
        <f>ROUND(PRRAS!J75,2)</f>
        <v>63493.93</v>
      </c>
      <c r="C57" s="7">
        <f>ROUND(PRRAS!K75,2)</f>
        <v>43796.75</v>
      </c>
      <c r="D57" s="7">
        <v>0</v>
      </c>
      <c r="E57" s="7">
        <v>0</v>
      </c>
      <c r="F57" s="257">
        <f t="shared" si="1"/>
        <v>84608.9608</v>
      </c>
      <c r="J57" s="8">
        <f t="shared" si="0"/>
        <v>0</v>
      </c>
    </row>
    <row r="58" spans="1:10" ht="12.75">
      <c r="A58" s="5">
        <f>PRRAS!I76</f>
        <v>57</v>
      </c>
      <c r="B58" s="7">
        <f>ROUND(PRRAS!J76,2)</f>
        <v>63493.93</v>
      </c>
      <c r="C58" s="7">
        <f>ROUND(PRRAS!K76,2)</f>
        <v>43796.75</v>
      </c>
      <c r="D58" s="7">
        <v>0</v>
      </c>
      <c r="E58" s="7">
        <v>0</v>
      </c>
      <c r="F58" s="257">
        <f t="shared" si="1"/>
        <v>86119.8351</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597.25</v>
      </c>
      <c r="C62" s="7">
        <f>ROUND(PRRAS!K80,2)</f>
        <v>700</v>
      </c>
      <c r="D62" s="7">
        <v>0</v>
      </c>
      <c r="E62" s="7">
        <v>0</v>
      </c>
      <c r="F62" s="257">
        <f t="shared" si="1"/>
        <v>1218.3225</v>
      </c>
      <c r="J62" s="8">
        <f t="shared" si="0"/>
        <v>0</v>
      </c>
    </row>
    <row r="63" spans="1:10" ht="12.75">
      <c r="A63" s="5">
        <f>PRRAS!I81</f>
        <v>62</v>
      </c>
      <c r="B63" s="7">
        <f>ROUND(PRRAS!J81,2)</f>
        <v>8952.68</v>
      </c>
      <c r="C63" s="7">
        <f>ROUND(PRRAS!K81,2)</f>
        <v>5657.42</v>
      </c>
      <c r="D63" s="7">
        <v>0</v>
      </c>
      <c r="E63" s="7">
        <v>0</v>
      </c>
      <c r="F63" s="257">
        <f t="shared" si="1"/>
        <v>12565.8624</v>
      </c>
      <c r="J63" s="8">
        <f t="shared" si="0"/>
        <v>0</v>
      </c>
    </row>
    <row r="64" spans="1:10" ht="12.75">
      <c r="A64" s="5">
        <f>PRRAS!I82</f>
        <v>63</v>
      </c>
      <c r="B64" s="7">
        <f>ROUND(PRRAS!J82,2)</f>
        <v>8952.68</v>
      </c>
      <c r="C64" s="7">
        <f>ROUND(PRRAS!K82,2)</f>
        <v>5657.42</v>
      </c>
      <c r="D64" s="7">
        <v>0</v>
      </c>
      <c r="E64" s="7">
        <v>0</v>
      </c>
      <c r="F64" s="257">
        <f t="shared" si="1"/>
        <v>12768.5376</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43074.92</v>
      </c>
      <c r="C68" s="7">
        <f>ROUND(PRRAS!K86,2)</f>
        <v>22756.3</v>
      </c>
      <c r="D68" s="7">
        <v>0</v>
      </c>
      <c r="E68" s="7">
        <v>0</v>
      </c>
      <c r="F68" s="257">
        <f t="shared" si="2"/>
        <v>59353.638399999996</v>
      </c>
      <c r="J68" s="8">
        <f t="shared" si="3"/>
        <v>0</v>
      </c>
    </row>
    <row r="69" spans="1:10" ht="12.75">
      <c r="A69" s="5">
        <f>PRRAS!I87</f>
        <v>68</v>
      </c>
      <c r="B69" s="7">
        <f>ROUND(PRRAS!J87,2)</f>
        <v>280.05</v>
      </c>
      <c r="C69" s="7">
        <f>ROUND(PRRAS!K87,2)</f>
        <v>1633.21</v>
      </c>
      <c r="D69" s="7">
        <v>0</v>
      </c>
      <c r="E69" s="7">
        <v>0</v>
      </c>
      <c r="F69" s="257">
        <f t="shared" si="2"/>
        <v>2411.5996000000005</v>
      </c>
      <c r="J69" s="8">
        <f t="shared" si="3"/>
        <v>0</v>
      </c>
    </row>
    <row r="70" spans="1:10" ht="12.75">
      <c r="A70" s="5">
        <f>PRRAS!I88</f>
        <v>69</v>
      </c>
      <c r="B70" s="7">
        <f>ROUND(PRRAS!J88,2)</f>
        <v>280.05</v>
      </c>
      <c r="C70" s="7">
        <f>ROUND(PRRAS!K88,2)</f>
        <v>1633.21</v>
      </c>
      <c r="D70" s="7">
        <v>0</v>
      </c>
      <c r="E70" s="7">
        <v>0</v>
      </c>
      <c r="F70" s="257">
        <f t="shared" si="2"/>
        <v>2447.0643</v>
      </c>
      <c r="J70" s="8">
        <f t="shared" si="3"/>
        <v>0</v>
      </c>
    </row>
    <row r="71" spans="1:10" ht="12.75">
      <c r="A71" s="5">
        <f>PRRAS!I89</f>
        <v>70</v>
      </c>
      <c r="B71" s="7">
        <f>ROUND(PRRAS!J89,2)</f>
        <v>0</v>
      </c>
      <c r="C71" s="7">
        <f>ROUND(PRRAS!K89,2)</f>
        <v>0</v>
      </c>
      <c r="D71" s="7">
        <v>0</v>
      </c>
      <c r="E71" s="7">
        <v>0</v>
      </c>
      <c r="F71" s="257">
        <f t="shared" si="2"/>
        <v>0</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0</v>
      </c>
      <c r="C73" s="7">
        <f>ROUND(PRRAS!K91,2)</f>
        <v>0</v>
      </c>
      <c r="D73" s="7">
        <v>0</v>
      </c>
      <c r="E73" s="7">
        <v>0</v>
      </c>
      <c r="F73" s="257">
        <f t="shared" si="2"/>
        <v>0</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0</v>
      </c>
      <c r="C78" s="7">
        <f>ROUND(PRRAS!K96,2)</f>
        <v>115.12</v>
      </c>
      <c r="D78" s="7">
        <v>0</v>
      </c>
      <c r="E78" s="7">
        <v>0</v>
      </c>
      <c r="F78" s="257">
        <f t="shared" si="2"/>
        <v>177.28480000000002</v>
      </c>
      <c r="J78" s="8">
        <f t="shared" si="3"/>
        <v>0</v>
      </c>
    </row>
    <row r="79" spans="1:10" ht="12.75">
      <c r="A79" s="5">
        <f>PRRAS!I97</f>
        <v>78</v>
      </c>
      <c r="B79" s="7">
        <f>ROUND(PRRAS!J97,2)</f>
        <v>0</v>
      </c>
      <c r="C79" s="7">
        <f>ROUND(PRRAS!K97,2)</f>
        <v>115.12</v>
      </c>
      <c r="D79" s="7">
        <v>0</v>
      </c>
      <c r="E79" s="7">
        <v>0</v>
      </c>
      <c r="F79" s="257">
        <f t="shared" si="2"/>
        <v>179.58720000000002</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5972.53</v>
      </c>
      <c r="C83" s="7">
        <f>ROUND(PRRAS!K101,2)</f>
        <v>0</v>
      </c>
      <c r="D83" s="7">
        <v>0</v>
      </c>
      <c r="E83" s="7">
        <v>0</v>
      </c>
      <c r="F83" s="257">
        <f t="shared" si="2"/>
        <v>4897.4746</v>
      </c>
      <c r="J83" s="8">
        <f t="shared" si="3"/>
        <v>0</v>
      </c>
    </row>
    <row r="84" spans="1:10" ht="12.75">
      <c r="A84" s="5">
        <f>PRRAS!I102</f>
        <v>83</v>
      </c>
      <c r="B84" s="7">
        <f>ROUND(PRRAS!J102,2)</f>
        <v>5972.53</v>
      </c>
      <c r="C84" s="7">
        <f>ROUND(PRRAS!K102,2)</f>
        <v>0</v>
      </c>
      <c r="D84" s="7">
        <v>0</v>
      </c>
      <c r="E84" s="7">
        <v>0</v>
      </c>
      <c r="F84" s="257">
        <f t="shared" si="2"/>
        <v>4957.1999</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19325.23</v>
      </c>
      <c r="C88" s="7">
        <f>ROUND(PRRAS!K106,2)</f>
        <v>9293.69</v>
      </c>
      <c r="D88" s="7">
        <v>0</v>
      </c>
      <c r="E88" s="7">
        <v>0</v>
      </c>
      <c r="F88" s="257">
        <f t="shared" si="2"/>
        <v>32983.9707</v>
      </c>
      <c r="J88" s="8">
        <f t="shared" si="3"/>
        <v>0</v>
      </c>
    </row>
    <row r="89" spans="1:10" ht="12.75">
      <c r="A89" s="5">
        <f>PRRAS!I107</f>
        <v>88</v>
      </c>
      <c r="B89" s="7">
        <f>ROUND(PRRAS!J107,2)</f>
        <v>1505.47</v>
      </c>
      <c r="C89" s="7">
        <f>ROUND(PRRAS!K107,2)</f>
        <v>1008.21</v>
      </c>
      <c r="D89" s="7">
        <v>0</v>
      </c>
      <c r="E89" s="7">
        <v>0</v>
      </c>
      <c r="F89" s="257">
        <f t="shared" si="2"/>
        <v>3099.2632000000003</v>
      </c>
      <c r="J89" s="8">
        <f t="shared" si="3"/>
        <v>0</v>
      </c>
    </row>
    <row r="90" spans="1:10" ht="12.75">
      <c r="A90" s="5">
        <f>PRRAS!I108</f>
        <v>89</v>
      </c>
      <c r="B90" s="7">
        <f>ROUND(PRRAS!J108,2)</f>
        <v>2049.11</v>
      </c>
      <c r="C90" s="7">
        <f>ROUND(PRRAS!K108,2)</f>
        <v>1848.65</v>
      </c>
      <c r="D90" s="7">
        <v>0</v>
      </c>
      <c r="E90" s="7">
        <v>0</v>
      </c>
      <c r="F90" s="257">
        <f t="shared" si="2"/>
        <v>5114.3049</v>
      </c>
      <c r="J90" s="8">
        <f t="shared" si="3"/>
        <v>0</v>
      </c>
    </row>
    <row r="91" spans="1:10" ht="12.75">
      <c r="A91" s="5">
        <f>PRRAS!I109</f>
        <v>90</v>
      </c>
      <c r="B91" s="7">
        <f>ROUND(PRRAS!J109,2)</f>
        <v>0</v>
      </c>
      <c r="C91" s="7">
        <f>ROUND(PRRAS!K109,2)</f>
        <v>0</v>
      </c>
      <c r="D91" s="7">
        <v>0</v>
      </c>
      <c r="E91" s="7">
        <v>0</v>
      </c>
      <c r="F91" s="257">
        <f t="shared" si="2"/>
        <v>0</v>
      </c>
      <c r="J91" s="8">
        <f t="shared" si="3"/>
        <v>0</v>
      </c>
    </row>
    <row r="92" spans="1:10" ht="12.75">
      <c r="A92" s="5">
        <f>PRRAS!I110</f>
        <v>91</v>
      </c>
      <c r="B92" s="7">
        <f>ROUND(PRRAS!J110,2)</f>
        <v>519.21</v>
      </c>
      <c r="C92" s="7">
        <f>ROUND(PRRAS!K110,2)</f>
        <v>303.72</v>
      </c>
      <c r="D92" s="7">
        <v>0</v>
      </c>
      <c r="E92" s="7">
        <v>0</v>
      </c>
      <c r="F92" s="257">
        <f t="shared" si="2"/>
        <v>1025.2515</v>
      </c>
      <c r="J92" s="8">
        <f t="shared" si="3"/>
        <v>0</v>
      </c>
    </row>
    <row r="93" spans="1:10" ht="12.75">
      <c r="A93" s="5">
        <f>PRRAS!I111</f>
        <v>92</v>
      </c>
      <c r="B93" s="7">
        <f>ROUND(PRRAS!J111,2)</f>
        <v>821.95</v>
      </c>
      <c r="C93" s="7">
        <f>ROUND(PRRAS!K111,2)</f>
        <v>822.03</v>
      </c>
      <c r="D93" s="7">
        <v>0</v>
      </c>
      <c r="E93" s="7">
        <v>0</v>
      </c>
      <c r="F93" s="257">
        <f t="shared" si="2"/>
        <v>2268.7292</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0</v>
      </c>
      <c r="C95" s="7">
        <f>ROUND(PRRAS!K113,2)</f>
        <v>0</v>
      </c>
      <c r="D95" s="7">
        <v>0</v>
      </c>
      <c r="E95" s="7">
        <v>0</v>
      </c>
      <c r="F95" s="257">
        <f t="shared" si="2"/>
        <v>0</v>
      </c>
      <c r="J95" s="8">
        <f t="shared" si="3"/>
        <v>0</v>
      </c>
    </row>
    <row r="96" spans="1:10" ht="12.75">
      <c r="A96" s="5">
        <f>PRRAS!I114</f>
        <v>95</v>
      </c>
      <c r="B96" s="7">
        <f>ROUND(PRRAS!J114,2)</f>
        <v>3185.35</v>
      </c>
      <c r="C96" s="7">
        <f>ROUND(PRRAS!K114,2)</f>
        <v>1990.8</v>
      </c>
      <c r="D96" s="7">
        <v>0</v>
      </c>
      <c r="E96" s="7">
        <v>0</v>
      </c>
      <c r="F96" s="257">
        <f t="shared" si="2"/>
        <v>6808.602499999999</v>
      </c>
      <c r="J96" s="8">
        <f t="shared" si="3"/>
        <v>0</v>
      </c>
    </row>
    <row r="97" spans="1:10" ht="12.75">
      <c r="A97" s="5">
        <f>PRRAS!I115</f>
        <v>96</v>
      </c>
      <c r="B97" s="7">
        <f>ROUND(PRRAS!J115,2)</f>
        <v>11244.14</v>
      </c>
      <c r="C97" s="7">
        <f>ROUND(PRRAS!K115,2)</f>
        <v>3320.28</v>
      </c>
      <c r="D97" s="7">
        <v>0</v>
      </c>
      <c r="E97" s="7">
        <v>0</v>
      </c>
      <c r="F97" s="257">
        <f t="shared" si="2"/>
        <v>17169.311999999998</v>
      </c>
      <c r="J97" s="8">
        <f t="shared" si="3"/>
        <v>0</v>
      </c>
    </row>
    <row r="98" spans="1:10" ht="12.75">
      <c r="A98" s="5">
        <f>PRRAS!I116</f>
        <v>97</v>
      </c>
      <c r="B98" s="7">
        <f>ROUND(PRRAS!J116,2)</f>
        <v>16667.87</v>
      </c>
      <c r="C98" s="7">
        <f>ROUND(PRRAS!K116,2)</f>
        <v>11414.48</v>
      </c>
      <c r="D98" s="7">
        <v>0</v>
      </c>
      <c r="E98" s="7">
        <v>0</v>
      </c>
      <c r="F98" s="257">
        <f t="shared" si="2"/>
        <v>38311.92509999999</v>
      </c>
      <c r="J98" s="8">
        <f t="shared" si="3"/>
        <v>0</v>
      </c>
    </row>
    <row r="99" spans="1:10" ht="12.75">
      <c r="A99" s="5">
        <f>PRRAS!I117</f>
        <v>98</v>
      </c>
      <c r="B99" s="7">
        <f>ROUND(PRRAS!J117,2)</f>
        <v>11161.46</v>
      </c>
      <c r="C99" s="7">
        <f>ROUND(PRRAS!K117,2)</f>
        <v>6966.57</v>
      </c>
      <c r="D99" s="7">
        <v>0</v>
      </c>
      <c r="E99" s="7">
        <v>0</v>
      </c>
      <c r="F99" s="257">
        <f t="shared" si="2"/>
        <v>24592.708</v>
      </c>
      <c r="J99" s="8">
        <f t="shared" si="3"/>
        <v>0</v>
      </c>
    </row>
    <row r="100" spans="1:10" ht="12.75">
      <c r="A100" s="5">
        <f>PRRAS!I118</f>
        <v>99</v>
      </c>
      <c r="B100" s="7">
        <f>ROUND(PRRAS!J118,2)</f>
        <v>0</v>
      </c>
      <c r="C100" s="7">
        <f>ROUND(PRRAS!K118,2)</f>
        <v>0</v>
      </c>
      <c r="D100" s="7">
        <v>0</v>
      </c>
      <c r="E100" s="7">
        <v>0</v>
      </c>
      <c r="F100" s="257">
        <f t="shared" si="2"/>
        <v>0</v>
      </c>
      <c r="J100" s="8">
        <f t="shared" si="3"/>
        <v>0</v>
      </c>
    </row>
    <row r="101" spans="1:10" ht="12.75">
      <c r="A101" s="5">
        <f>PRRAS!I119</f>
        <v>100</v>
      </c>
      <c r="B101" s="7">
        <f>ROUND(PRRAS!J119,2)</f>
        <v>4926.94</v>
      </c>
      <c r="C101" s="7">
        <f>ROUND(PRRAS!K119,2)</f>
        <v>4389.49</v>
      </c>
      <c r="D101" s="7">
        <v>0</v>
      </c>
      <c r="E101" s="7">
        <v>0</v>
      </c>
      <c r="F101" s="257">
        <f t="shared" si="2"/>
        <v>13705.919999999998</v>
      </c>
      <c r="J101" s="8">
        <f t="shared" si="3"/>
        <v>0</v>
      </c>
    </row>
    <row r="102" spans="1:10" ht="12.75">
      <c r="A102" s="5">
        <f>PRRAS!I120</f>
        <v>101</v>
      </c>
      <c r="B102" s="7">
        <f>ROUND(PRRAS!J120,2)</f>
        <v>579.47</v>
      </c>
      <c r="C102" s="7">
        <f>ROUND(PRRAS!K120,2)</f>
        <v>58.42</v>
      </c>
      <c r="D102" s="7">
        <v>0</v>
      </c>
      <c r="E102" s="7">
        <v>0</v>
      </c>
      <c r="F102" s="257">
        <f t="shared" si="2"/>
        <v>703.2731000000001</v>
      </c>
      <c r="J102" s="8">
        <f t="shared" si="3"/>
        <v>0</v>
      </c>
    </row>
    <row r="103" spans="1:10" ht="12.75">
      <c r="A103" s="5">
        <f>PRRAS!I121</f>
        <v>102</v>
      </c>
      <c r="B103" s="7">
        <f>ROUND(PRRAS!J121,2)</f>
        <v>829.24</v>
      </c>
      <c r="C103" s="7">
        <f>ROUND(PRRAS!K121,2)</f>
        <v>299.8</v>
      </c>
      <c r="D103" s="7">
        <v>0</v>
      </c>
      <c r="E103" s="7">
        <v>0</v>
      </c>
      <c r="F103" s="257">
        <f t="shared" si="2"/>
        <v>1457.4168</v>
      </c>
      <c r="J103" s="8">
        <f t="shared" si="3"/>
        <v>0</v>
      </c>
    </row>
    <row r="104" spans="1:10" ht="12.75">
      <c r="A104" s="5">
        <f>PRRAS!I122</f>
        <v>103</v>
      </c>
      <c r="B104" s="7">
        <f>ROUND(PRRAS!J122,2)</f>
        <v>0</v>
      </c>
      <c r="C104" s="7">
        <f>ROUND(PRRAS!K122,2)</f>
        <v>0</v>
      </c>
      <c r="D104" s="7">
        <v>0</v>
      </c>
      <c r="E104" s="7">
        <v>0</v>
      </c>
      <c r="F104" s="257">
        <f t="shared" si="2"/>
        <v>0</v>
      </c>
      <c r="J104" s="8">
        <f t="shared" si="3"/>
        <v>0</v>
      </c>
    </row>
    <row r="105" spans="1:10" ht="12.75">
      <c r="A105" s="5">
        <f>PRRAS!I123</f>
        <v>104</v>
      </c>
      <c r="B105" s="7">
        <f>ROUND(PRRAS!J123,2)</f>
        <v>630.16</v>
      </c>
      <c r="C105" s="7">
        <f>ROUND(PRRAS!K123,2)</f>
        <v>244.8</v>
      </c>
      <c r="D105" s="7">
        <v>0</v>
      </c>
      <c r="E105" s="7">
        <v>0</v>
      </c>
      <c r="F105" s="257">
        <f t="shared" si="2"/>
        <v>1164.5504</v>
      </c>
      <c r="J105" s="8">
        <f t="shared" si="3"/>
        <v>0</v>
      </c>
    </row>
    <row r="106" spans="1:10" ht="12.75">
      <c r="A106" s="5">
        <f>PRRAS!I124</f>
        <v>105</v>
      </c>
      <c r="B106" s="7">
        <f>ROUND(PRRAS!J124,2)</f>
        <v>53.08</v>
      </c>
      <c r="C106" s="7">
        <f>ROUND(PRRAS!K124,2)</f>
        <v>15</v>
      </c>
      <c r="D106" s="7">
        <v>0</v>
      </c>
      <c r="E106" s="7">
        <v>0</v>
      </c>
      <c r="F106" s="257">
        <f t="shared" si="2"/>
        <v>87.23400000000001</v>
      </c>
      <c r="J106" s="8">
        <f t="shared" si="3"/>
        <v>0</v>
      </c>
    </row>
    <row r="107" spans="1:10" ht="12.75">
      <c r="A107" s="5">
        <f>PRRAS!I125</f>
        <v>106</v>
      </c>
      <c r="B107" s="7">
        <f>ROUND(PRRAS!J125,2)</f>
        <v>146</v>
      </c>
      <c r="C107" s="7">
        <f>ROUND(PRRAS!K125,2)</f>
        <v>0</v>
      </c>
      <c r="D107" s="7">
        <v>0</v>
      </c>
      <c r="E107" s="7">
        <v>0</v>
      </c>
      <c r="F107" s="257">
        <f t="shared" si="2"/>
        <v>154.76000000000002</v>
      </c>
      <c r="J107" s="8">
        <f t="shared" si="3"/>
        <v>0</v>
      </c>
    </row>
    <row r="108" spans="1:10" ht="12.75">
      <c r="A108" s="5">
        <f>PRRAS!I126</f>
        <v>107</v>
      </c>
      <c r="B108" s="7">
        <f>ROUND(PRRAS!J126,2)</f>
        <v>0</v>
      </c>
      <c r="C108" s="7">
        <f>ROUND(PRRAS!K126,2)</f>
        <v>40</v>
      </c>
      <c r="D108" s="7">
        <v>0</v>
      </c>
      <c r="E108" s="7">
        <v>0</v>
      </c>
      <c r="F108" s="257">
        <f t="shared" si="2"/>
        <v>85.60000000000001</v>
      </c>
      <c r="J108" s="8">
        <f t="shared" si="3"/>
        <v>0</v>
      </c>
    </row>
    <row r="109" spans="1:10" ht="12.75">
      <c r="A109" s="5">
        <f>PRRAS!I127</f>
        <v>108</v>
      </c>
      <c r="B109" s="7">
        <f>ROUND(PRRAS!J127,2)</f>
        <v>2571.5</v>
      </c>
      <c r="C109" s="7">
        <f>ROUND(PRRAS!K127,2)</f>
        <v>2571.5</v>
      </c>
      <c r="D109" s="7">
        <v>0</v>
      </c>
      <c r="E109" s="7">
        <v>0</v>
      </c>
      <c r="F109" s="257">
        <f t="shared" si="2"/>
        <v>8331.66</v>
      </c>
      <c r="J109" s="8">
        <f t="shared" si="3"/>
        <v>0</v>
      </c>
    </row>
    <row r="110" spans="1:10" ht="12.75">
      <c r="A110" s="5">
        <f>PRRAS!I128</f>
        <v>109</v>
      </c>
      <c r="B110" s="7">
        <f>ROUND(PRRAS!J128,2)</f>
        <v>380.25</v>
      </c>
      <c r="C110" s="7">
        <f>ROUND(PRRAS!K128,2)</f>
        <v>306.83</v>
      </c>
      <c r="D110" s="7">
        <v>0</v>
      </c>
      <c r="E110" s="7">
        <v>0</v>
      </c>
      <c r="F110" s="257">
        <f t="shared" si="2"/>
        <v>1083.3619</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380.25</v>
      </c>
      <c r="C116" s="7">
        <f>ROUND(PRRAS!K134,2)</f>
        <v>306.83</v>
      </c>
      <c r="D116" s="7">
        <v>0</v>
      </c>
      <c r="E116" s="7">
        <v>0</v>
      </c>
      <c r="F116" s="257">
        <f t="shared" si="2"/>
        <v>1142.9965</v>
      </c>
      <c r="J116" s="8">
        <f t="shared" si="3"/>
        <v>0</v>
      </c>
    </row>
    <row r="117" spans="1:10" ht="12.75">
      <c r="A117" s="5">
        <f>PRRAS!I135</f>
        <v>116</v>
      </c>
      <c r="B117" s="7">
        <f>ROUND(PRRAS!J135,2)</f>
        <v>380.25</v>
      </c>
      <c r="C117" s="7">
        <f>ROUND(PRRAS!K135,2)</f>
        <v>306.83</v>
      </c>
      <c r="D117" s="7">
        <v>0</v>
      </c>
      <c r="E117" s="7">
        <v>0</v>
      </c>
      <c r="F117" s="257">
        <f t="shared" si="2"/>
        <v>1152.9355999999998</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0</v>
      </c>
      <c r="C119" s="7">
        <f>ROUND(PRRAS!K137,2)</f>
        <v>0</v>
      </c>
      <c r="D119" s="7">
        <v>0</v>
      </c>
      <c r="E119" s="7">
        <v>0</v>
      </c>
      <c r="F119" s="257">
        <f t="shared" si="2"/>
        <v>0</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7271.86</v>
      </c>
      <c r="C121" s="7">
        <f>ROUND(PRRAS!K139,2)</f>
        <v>116.36</v>
      </c>
      <c r="D121" s="7">
        <v>0</v>
      </c>
      <c r="E121" s="7">
        <v>0</v>
      </c>
      <c r="F121" s="257">
        <f t="shared" si="2"/>
        <v>9005.496</v>
      </c>
      <c r="J121" s="8">
        <f t="shared" si="3"/>
        <v>0</v>
      </c>
    </row>
    <row r="122" spans="1:10" ht="12.75">
      <c r="A122" s="5">
        <f>PRRAS!I140</f>
        <v>121</v>
      </c>
      <c r="B122" s="7">
        <f>ROUND(PRRAS!J140,2)</f>
        <v>7271.86</v>
      </c>
      <c r="C122" s="7">
        <f>ROUND(PRRAS!K140,2)</f>
        <v>0</v>
      </c>
      <c r="D122" s="7">
        <v>0</v>
      </c>
      <c r="E122" s="7">
        <v>0</v>
      </c>
      <c r="F122" s="257">
        <f t="shared" si="2"/>
        <v>8798.9506</v>
      </c>
      <c r="J122" s="8">
        <f t="shared" si="3"/>
        <v>0</v>
      </c>
    </row>
    <row r="123" spans="1:10" ht="12.75">
      <c r="A123" s="5">
        <f>PRRAS!I141</f>
        <v>122</v>
      </c>
      <c r="B123" s="7">
        <f>ROUND(PRRAS!J141,2)</f>
        <v>7271.86</v>
      </c>
      <c r="C123" s="7">
        <f>ROUND(PRRAS!K141,2)</f>
        <v>0</v>
      </c>
      <c r="D123" s="7">
        <v>0</v>
      </c>
      <c r="E123" s="7">
        <v>0</v>
      </c>
      <c r="F123" s="257">
        <f t="shared" si="2"/>
        <v>8871.6692</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116.36</v>
      </c>
      <c r="D126" s="7">
        <v>0</v>
      </c>
      <c r="E126" s="7">
        <v>0</v>
      </c>
      <c r="F126" s="257">
        <f t="shared" si="2"/>
        <v>290.9</v>
      </c>
      <c r="J126" s="8">
        <f t="shared" si="3"/>
        <v>0</v>
      </c>
    </row>
    <row r="127" spans="1:10" ht="12.75">
      <c r="A127" s="5">
        <f>PRRAS!I145</f>
        <v>126</v>
      </c>
      <c r="B127" s="7">
        <f>ROUND(PRRAS!J145,2)</f>
        <v>0</v>
      </c>
      <c r="C127" s="7">
        <f>ROUND(PRRAS!K145,2)</f>
        <v>116.36</v>
      </c>
      <c r="D127" s="7">
        <v>0</v>
      </c>
      <c r="E127" s="7">
        <v>0</v>
      </c>
      <c r="F127" s="257">
        <f t="shared" si="2"/>
        <v>293.2272</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0</v>
      </c>
      <c r="C129" s="7">
        <f>ROUND(PRRAS!K147,2)</f>
        <v>0</v>
      </c>
      <c r="D129" s="7">
        <v>0</v>
      </c>
      <c r="E129" s="7">
        <v>0</v>
      </c>
      <c r="F129" s="257">
        <f t="shared" si="2"/>
        <v>0</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0</v>
      </c>
      <c r="C135" s="7">
        <f>ROUND(PRRAS!K153,2)</f>
        <v>0</v>
      </c>
      <c r="D135" s="7">
        <v>0</v>
      </c>
      <c r="E135" s="7">
        <v>0</v>
      </c>
      <c r="F135" s="257">
        <f t="shared" si="4"/>
        <v>0</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0</v>
      </c>
      <c r="C139" s="7">
        <f>ROUND(PRRAS!K157,2)</f>
        <v>0</v>
      </c>
      <c r="D139" s="7">
        <v>0</v>
      </c>
      <c r="E139" s="7">
        <v>0</v>
      </c>
      <c r="F139" s="257">
        <f t="shared" si="4"/>
        <v>0</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126342.39</v>
      </c>
      <c r="C149" s="7">
        <f>ROUND(PRRAS!K167,2)</f>
        <v>75905.16</v>
      </c>
      <c r="D149" s="7">
        <v>0</v>
      </c>
      <c r="E149" s="7">
        <v>0</v>
      </c>
      <c r="F149" s="257">
        <f t="shared" si="4"/>
        <v>411666.01080000005</v>
      </c>
      <c r="J149" s="8">
        <f t="shared" si="5"/>
        <v>0</v>
      </c>
    </row>
    <row r="150" spans="1:10" ht="12.75">
      <c r="A150" s="5">
        <f>PRRAS!I168</f>
        <v>149</v>
      </c>
      <c r="B150" s="7">
        <f>ROUND(PRRAS!J168,2)</f>
        <v>0</v>
      </c>
      <c r="C150" s="7">
        <f>ROUND(PRRAS!K168,2)</f>
        <v>37803.49</v>
      </c>
      <c r="D150" s="7">
        <v>0</v>
      </c>
      <c r="E150" s="7">
        <v>0</v>
      </c>
      <c r="F150" s="257">
        <f t="shared" si="4"/>
        <v>112654.40019999999</v>
      </c>
      <c r="J150" s="8">
        <f t="shared" si="5"/>
        <v>0</v>
      </c>
    </row>
    <row r="151" spans="1:10" ht="12.75">
      <c r="A151" s="5">
        <f>PRRAS!I169</f>
        <v>150</v>
      </c>
      <c r="B151" s="7">
        <f>ROUND(PRRAS!J169,2)</f>
        <v>52282.8</v>
      </c>
      <c r="C151" s="7">
        <f>ROUND(PRRAS!K169,2)</f>
        <v>0</v>
      </c>
      <c r="D151" s="7">
        <v>0</v>
      </c>
      <c r="E151" s="7">
        <v>0</v>
      </c>
      <c r="F151" s="257">
        <f t="shared" si="4"/>
        <v>78424.20000000001</v>
      </c>
      <c r="J151" s="8">
        <f t="shared" si="5"/>
        <v>0</v>
      </c>
    </row>
    <row r="152" spans="1:10" ht="12.75">
      <c r="A152" s="5">
        <f>PRRAS!I170</f>
        <v>151</v>
      </c>
      <c r="B152" s="7">
        <f>ROUND(PRRAS!J170,2)</f>
        <v>80835.15</v>
      </c>
      <c r="C152" s="7">
        <f>ROUND(PRRAS!K170,2)</f>
        <v>28552.35</v>
      </c>
      <c r="D152" s="7">
        <v>0</v>
      </c>
      <c r="E152" s="7">
        <v>0</v>
      </c>
      <c r="F152" s="257">
        <f t="shared" si="4"/>
        <v>208289.17349999998</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28552.35</v>
      </c>
      <c r="C155" s="7">
        <f>ROUND(PRRAS!K173,2)</f>
        <v>66355.84</v>
      </c>
      <c r="D155" s="7">
        <v>0</v>
      </c>
      <c r="E155" s="7">
        <v>0</v>
      </c>
      <c r="F155" s="257">
        <f t="shared" si="4"/>
        <v>248346.6062</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79068.02</v>
      </c>
      <c r="C157" s="7">
        <f>ROUND(PRRAS!K176,2)</f>
        <v>26836.29</v>
      </c>
      <c r="D157" s="7">
        <v>0</v>
      </c>
      <c r="E157" s="7">
        <v>0</v>
      </c>
      <c r="F157" s="257">
        <f t="shared" si="6"/>
        <v>207075.336</v>
      </c>
      <c r="J157" s="8">
        <f t="shared" si="5"/>
        <v>0</v>
      </c>
    </row>
    <row r="158" spans="1:10" ht="12.75">
      <c r="A158" s="5">
        <f>PRRAS!I177</f>
        <v>157</v>
      </c>
      <c r="B158" s="7">
        <f>ROUND(PRRAS!J177,2)</f>
        <v>113271.62</v>
      </c>
      <c r="C158" s="7">
        <f>ROUND(PRRAS!K177,2)</f>
        <v>136090.75</v>
      </c>
      <c r="D158" s="7">
        <v>0</v>
      </c>
      <c r="E158" s="7">
        <v>0</v>
      </c>
      <c r="F158" s="257">
        <f t="shared" si="6"/>
        <v>605161.3984000001</v>
      </c>
      <c r="J158" s="8">
        <f t="shared" si="5"/>
        <v>0</v>
      </c>
    </row>
    <row r="159" spans="1:10" ht="12.75">
      <c r="A159" s="5">
        <f>PRRAS!I178</f>
        <v>158</v>
      </c>
      <c r="B159" s="7">
        <f>ROUND(PRRAS!J178,2)</f>
        <v>165503.35</v>
      </c>
      <c r="C159" s="7">
        <f>ROUND(PRRAS!K178,2)</f>
        <v>94518.24</v>
      </c>
      <c r="D159" s="7">
        <v>0</v>
      </c>
      <c r="E159" s="7">
        <v>0</v>
      </c>
      <c r="F159" s="257">
        <f t="shared" si="6"/>
        <v>560172.9314000001</v>
      </c>
      <c r="J159" s="8">
        <f t="shared" si="5"/>
        <v>0</v>
      </c>
    </row>
    <row r="160" spans="1:10" ht="12.75">
      <c r="A160" s="5">
        <f>PRRAS!I179</f>
        <v>159</v>
      </c>
      <c r="B160" s="7">
        <f>ROUND(PRRAS!J179,2)</f>
        <v>26836.29</v>
      </c>
      <c r="C160" s="7">
        <f>ROUND(PRRAS!K179,2)</f>
        <v>68408.8</v>
      </c>
      <c r="D160" s="7">
        <v>0</v>
      </c>
      <c r="E160" s="7">
        <v>0</v>
      </c>
      <c r="F160" s="257">
        <f t="shared" si="6"/>
        <v>260209.68510000003</v>
      </c>
      <c r="J160" s="8">
        <f t="shared" si="5"/>
        <v>0</v>
      </c>
    </row>
    <row r="161" spans="1:10" ht="12.75">
      <c r="A161" s="5">
        <f>PRRAS!I180</f>
        <v>160</v>
      </c>
      <c r="B161" s="7">
        <f>ROUND(PRRAS!J180,2)</f>
        <v>4</v>
      </c>
      <c r="C161" s="7">
        <f>ROUND(PRRAS!K180,2)</f>
        <v>3</v>
      </c>
      <c r="D161" s="7">
        <v>0</v>
      </c>
      <c r="E161" s="7">
        <v>0</v>
      </c>
      <c r="F161" s="257">
        <f t="shared" si="6"/>
        <v>16</v>
      </c>
      <c r="J161" s="8">
        <f>ABS(B161-ROUND(B161,0))+ABS(C161-ROUND(C161,0))</f>
        <v>0</v>
      </c>
    </row>
    <row r="162" spans="1:10" ht="12.75">
      <c r="A162" s="5">
        <f>PRRAS!I181</f>
        <v>161</v>
      </c>
      <c r="B162" s="7">
        <f>ROUND(PRRAS!J181,2)</f>
        <v>4</v>
      </c>
      <c r="C162" s="7">
        <f>ROUND(PRRAS!K181,2)</f>
        <v>3</v>
      </c>
      <c r="D162" s="7">
        <v>0</v>
      </c>
      <c r="E162" s="7">
        <v>0</v>
      </c>
      <c r="F162" s="257">
        <f t="shared" si="6"/>
        <v>16.1</v>
      </c>
      <c r="J162" s="8">
        <f>ABS(B162-ROUND(B162,0))+ABS(C162-ROUND(C162,0))</f>
        <v>0</v>
      </c>
    </row>
    <row r="163" spans="1:10" ht="12.75">
      <c r="A163" s="5">
        <f>PRRAS!I182</f>
        <v>162</v>
      </c>
      <c r="B163" s="7">
        <f>ROUND(PRRAS!J182,2)</f>
        <v>3</v>
      </c>
      <c r="C163" s="7">
        <f>ROUND(PRRAS!K182,2)</f>
        <v>7</v>
      </c>
      <c r="D163" s="7">
        <v>0</v>
      </c>
      <c r="E163" s="7">
        <v>0</v>
      </c>
      <c r="F163" s="257">
        <f t="shared" si="6"/>
        <v>27.54</v>
      </c>
      <c r="J163" s="8">
        <f>ABS(B163-ROUND(B163,0))+ABS(C163-ROUND(C163,0))</f>
        <v>0</v>
      </c>
    </row>
    <row r="164" spans="1:10" ht="12.75">
      <c r="A164" s="5">
        <f>PRRAS!I183</f>
        <v>163</v>
      </c>
      <c r="B164" s="7">
        <f>ROUND(PRRAS!J183,2)</f>
        <v>600</v>
      </c>
      <c r="C164" s="7">
        <f>ROUND(PRRAS!K183,2)</f>
        <v>1080</v>
      </c>
      <c r="D164" s="7">
        <v>0</v>
      </c>
      <c r="E164" s="7">
        <v>0</v>
      </c>
      <c r="F164" s="257">
        <f t="shared" si="6"/>
        <v>4498.799999999999</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611</v>
      </c>
      <c r="C172" s="7">
        <f>ROUND(PRRAS!K194,2)</f>
        <v>1093</v>
      </c>
      <c r="D172" s="7">
        <v>0</v>
      </c>
      <c r="E172" s="7">
        <v>0</v>
      </c>
      <c r="F172" s="257">
        <f t="shared" si="6"/>
        <v>4782.87</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32618.62</v>
      </c>
      <c r="C2" s="7">
        <f>ROUND(BIL!K19,2)</f>
        <v>71619.69</v>
      </c>
      <c r="D2" s="7">
        <v>0</v>
      </c>
      <c r="E2" s="7">
        <v>0</v>
      </c>
      <c r="F2" s="257">
        <f aca="true" t="shared" si="0" ref="F2:F65">A2/100*B2+A2/50*C2</f>
        <v>1758.58</v>
      </c>
      <c r="G2" s="9">
        <f>TRIM(UPPER(RefStr!C13))</f>
      </c>
      <c r="H2" s="13">
        <v>0</v>
      </c>
      <c r="I2" s="9" t="s">
        <v>1319</v>
      </c>
      <c r="J2" s="8">
        <f>ABS(B2-ROUND(B2,2))+ABS(C2-ROUND(C2,2))</f>
        <v>0</v>
      </c>
    </row>
    <row r="3" spans="1:10" ht="12.75">
      <c r="A3" s="5">
        <f>BIL!I20</f>
        <v>2</v>
      </c>
      <c r="B3" s="7">
        <f>ROUND(BIL!J20,2)</f>
        <v>5782.33</v>
      </c>
      <c r="C3" s="7">
        <f>ROUND(BIL!K20,2)</f>
        <v>3210.89</v>
      </c>
      <c r="D3" s="7">
        <v>0</v>
      </c>
      <c r="E3" s="7">
        <v>0</v>
      </c>
      <c r="F3" s="257">
        <f t="shared" si="0"/>
        <v>244.0822</v>
      </c>
      <c r="G3" s="6" t="str">
        <f>TEXT(INT(VALUE(RefStr!J11)),"00000000")</f>
        <v>01692569</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UDRUGA LET</v>
      </c>
      <c r="I4" s="9" t="s">
        <v>1321</v>
      </c>
      <c r="J4" s="8">
        <f t="shared" si="1"/>
        <v>0</v>
      </c>
    </row>
    <row r="5" spans="1:10" ht="12.75">
      <c r="A5" s="5">
        <f>BIL!I22</f>
        <v>4</v>
      </c>
      <c r="B5" s="7">
        <f>ROUND(BIL!J22,2)</f>
        <v>0</v>
      </c>
      <c r="C5" s="7">
        <f>ROUND(BIL!K22,2)</f>
        <v>0</v>
      </c>
      <c r="D5" s="7">
        <v>0</v>
      </c>
      <c r="E5" s="7">
        <v>0</v>
      </c>
      <c r="F5" s="257">
        <f t="shared" si="0"/>
        <v>0</v>
      </c>
      <c r="G5" s="6" t="str">
        <f>TEXT(INT(VALUE(RefStr!C9)),"00000")</f>
        <v>10000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ZAGREB</v>
      </c>
      <c r="I6" s="9" t="s">
        <v>1323</v>
      </c>
      <c r="J6" s="8">
        <f t="shared" si="1"/>
        <v>0</v>
      </c>
    </row>
    <row r="7" spans="1:10" ht="12.75">
      <c r="A7" s="5">
        <f>BIL!I24</f>
        <v>6</v>
      </c>
      <c r="B7" s="7">
        <f>ROUND(BIL!J24,2)</f>
        <v>0</v>
      </c>
      <c r="C7" s="7">
        <f>ROUND(BIL!K24,2)</f>
        <v>0</v>
      </c>
      <c r="D7" s="7">
        <v>0</v>
      </c>
      <c r="E7" s="7">
        <v>0</v>
      </c>
      <c r="F7" s="257">
        <f t="shared" si="0"/>
        <v>0</v>
      </c>
      <c r="G7" s="6" t="str">
        <f>IF(ISERROR(RefStr!C11),"-",(TRIM(RefStr!C11)))</f>
        <v>RATARSKA 7</v>
      </c>
      <c r="I7" s="9" t="s">
        <v>1324</v>
      </c>
      <c r="J7" s="8">
        <f t="shared" si="1"/>
        <v>0</v>
      </c>
    </row>
    <row r="8" spans="1:10" ht="12.75">
      <c r="A8" s="5">
        <f>BIL!I25</f>
        <v>7</v>
      </c>
      <c r="B8" s="7">
        <f>ROUND(BIL!J25,2)</f>
        <v>0</v>
      </c>
      <c r="C8" s="7">
        <f>ROUND(BIL!K25,2)</f>
        <v>0</v>
      </c>
      <c r="D8" s="7">
        <v>0</v>
      </c>
      <c r="E8" s="7">
        <v>0</v>
      </c>
      <c r="F8" s="257">
        <f t="shared" si="0"/>
        <v>0</v>
      </c>
      <c r="G8" s="6" t="str">
        <f>TEXT(INT(VALUE(RefStr!C15)),"0000")</f>
        <v>9499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21</v>
      </c>
      <c r="I9" s="9" t="s">
        <v>1326</v>
      </c>
      <c r="J9" s="8">
        <f t="shared" si="1"/>
        <v>0</v>
      </c>
    </row>
    <row r="10" spans="1:10" ht="12.75">
      <c r="A10" s="5">
        <f>BIL!I27</f>
        <v>9</v>
      </c>
      <c r="B10" s="7">
        <f>ROUND(BIL!J27,2)</f>
        <v>0</v>
      </c>
      <c r="C10" s="7">
        <f>ROUND(BIL!K27,2)</f>
        <v>0</v>
      </c>
      <c r="D10" s="7">
        <v>0</v>
      </c>
      <c r="E10" s="7">
        <v>0</v>
      </c>
      <c r="F10" s="257">
        <f t="shared" si="0"/>
        <v>0</v>
      </c>
      <c r="G10" s="6" t="str">
        <f>TEXT(INT(VALUE(RefStr!C17)),"000")</f>
        <v>133</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IVA JOVOVIĆ</v>
      </c>
      <c r="I18" s="11" t="s">
        <v>976</v>
      </c>
      <c r="J18" s="8">
        <f t="shared" si="1"/>
        <v>0</v>
      </c>
    </row>
    <row r="19" spans="1:10" ht="12.75">
      <c r="A19" s="5">
        <f>BIL!I36</f>
        <v>18</v>
      </c>
      <c r="B19" s="7">
        <f>ROUND(BIL!J36,2)</f>
        <v>5782.33</v>
      </c>
      <c r="C19" s="7">
        <f>ROUND(BIL!K36,2)</f>
        <v>3210.89</v>
      </c>
      <c r="D19" s="7">
        <v>0</v>
      </c>
      <c r="E19" s="7">
        <v>0</v>
      </c>
      <c r="F19" s="257">
        <f t="shared" si="0"/>
        <v>2196.7398</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MIRA DRAGOSAVAC M.</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01/3632349</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01/3632349</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let@udruga-let.hr</v>
      </c>
      <c r="I23" s="11" t="s">
        <v>981</v>
      </c>
      <c r="J23" s="8">
        <f t="shared" si="1"/>
        <v>0</v>
      </c>
    </row>
    <row r="24" spans="1:10" ht="12.75">
      <c r="A24" s="5">
        <f>BIL!I41</f>
        <v>23</v>
      </c>
      <c r="B24" s="7">
        <f>ROUND(BIL!J41,2)</f>
        <v>3619.62</v>
      </c>
      <c r="C24" s="7">
        <f>ROUND(BIL!K41,2)</f>
        <v>3619.62</v>
      </c>
      <c r="D24" s="7">
        <v>0</v>
      </c>
      <c r="E24" s="7">
        <v>0</v>
      </c>
      <c r="F24" s="257">
        <f t="shared" si="0"/>
        <v>2497.5378</v>
      </c>
      <c r="I24" s="11" t="s">
        <v>982</v>
      </c>
      <c r="J24" s="8">
        <f t="shared" si="1"/>
        <v>0</v>
      </c>
    </row>
    <row r="25" spans="1:10" ht="12.75">
      <c r="A25" s="5">
        <f>BIL!I42</f>
        <v>24</v>
      </c>
      <c r="B25" s="7">
        <f>ROUND(BIL!J42,2)</f>
        <v>3619.62</v>
      </c>
      <c r="C25" s="7">
        <f>ROUND(BIL!K42,2)</f>
        <v>3619.62</v>
      </c>
      <c r="D25" s="7">
        <v>0</v>
      </c>
      <c r="E25" s="7">
        <v>0</v>
      </c>
      <c r="F25" s="257">
        <f t="shared" si="0"/>
        <v>2606.1264</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13360312.504700001</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26545.46</v>
      </c>
      <c r="C32" s="7">
        <f>ROUND(BIL!K49,2)</f>
        <v>16810.51</v>
      </c>
      <c r="D32" s="7">
        <v>0</v>
      </c>
      <c r="E32" s="7">
        <v>0</v>
      </c>
      <c r="F32" s="257">
        <f t="shared" si="0"/>
        <v>18651.608799999998</v>
      </c>
      <c r="G32" s="6">
        <v>0</v>
      </c>
      <c r="I32" s="9" t="s">
        <v>338</v>
      </c>
      <c r="J32" s="8">
        <f t="shared" si="1"/>
        <v>0</v>
      </c>
    </row>
    <row r="33" spans="1:10" ht="12.75">
      <c r="A33" s="5">
        <f>BIL!I50</f>
        <v>32</v>
      </c>
      <c r="B33" s="7">
        <f>ROUND(BIL!J50,2)</f>
        <v>26545.46</v>
      </c>
      <c r="C33" s="7">
        <f>ROUND(BIL!K50,2)</f>
        <v>16810.51</v>
      </c>
      <c r="D33" s="7">
        <v>0</v>
      </c>
      <c r="E33" s="7">
        <v>0</v>
      </c>
      <c r="F33" s="257">
        <f t="shared" si="0"/>
        <v>19253.2736</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80621111596</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81264</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727.59</v>
      </c>
      <c r="C43" s="7">
        <f>ROUND(BIL!K60,2)</f>
        <v>727.59</v>
      </c>
      <c r="D43" s="7">
        <v>0</v>
      </c>
      <c r="E43" s="7">
        <v>0</v>
      </c>
      <c r="F43" s="257">
        <f t="shared" si="0"/>
        <v>916.7634</v>
      </c>
      <c r="G43" s="211">
        <f>IF(RefStr!N1=707,PraviPod707!G27+PraviPod709!G27+PraviPod710!G27+SUM(PraviPod708!F2:F201),SUM(PraviPod708!G27)+PraviPod709!G27+PraviPod710!G27)</f>
        <v>13360312.504700001</v>
      </c>
      <c r="I43" s="9" t="s">
        <v>2370</v>
      </c>
      <c r="J43" s="8">
        <f t="shared" si="1"/>
        <v>0</v>
      </c>
    </row>
    <row r="44" spans="1:10" ht="12.75">
      <c r="A44" s="5">
        <f>BIL!I61</f>
        <v>43</v>
      </c>
      <c r="B44" s="7">
        <f>ROUND(BIL!J61,2)</f>
        <v>727.59</v>
      </c>
      <c r="C44" s="7">
        <f>ROUND(BIL!K61,2)</f>
        <v>727.59</v>
      </c>
      <c r="D44" s="7">
        <v>0</v>
      </c>
      <c r="E44" s="7">
        <v>0</v>
      </c>
      <c r="F44" s="257">
        <f t="shared" si="0"/>
        <v>938.5911</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25110.34</v>
      </c>
      <c r="C47" s="7">
        <f>ROUND(BIL!K64,2)</f>
        <v>17946.83</v>
      </c>
      <c r="D47" s="7">
        <v>0</v>
      </c>
      <c r="E47" s="7">
        <v>0</v>
      </c>
      <c r="F47" s="257">
        <f t="shared" si="0"/>
        <v>28061.840000000004</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0</v>
      </c>
      <c r="C54" s="7">
        <f>ROUND(BIL!K71,2)</f>
        <v>0</v>
      </c>
      <c r="D54" s="7">
        <v>0</v>
      </c>
      <c r="E54" s="7">
        <v>0</v>
      </c>
      <c r="F54" s="257">
        <f t="shared" si="0"/>
        <v>0</v>
      </c>
      <c r="J54" s="8">
        <f t="shared" si="1"/>
        <v>0</v>
      </c>
    </row>
    <row r="55" spans="1:10" ht="12.75">
      <c r="A55" s="5">
        <f>BIL!I72</f>
        <v>54</v>
      </c>
      <c r="B55" s="7">
        <f>ROUND(BIL!J72,2)</f>
        <v>0</v>
      </c>
      <c r="C55" s="7">
        <f>ROUND(BIL!K72,2)</f>
        <v>0</v>
      </c>
      <c r="D55" s="7">
        <v>0</v>
      </c>
      <c r="E55" s="7">
        <v>0</v>
      </c>
      <c r="F55" s="257">
        <f t="shared" si="0"/>
        <v>0</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26836.29</v>
      </c>
      <c r="C75" s="7">
        <f>ROUND(BIL!K92,2)</f>
        <v>68408.8</v>
      </c>
      <c r="D75" s="7">
        <v>0</v>
      </c>
      <c r="E75" s="7">
        <v>0</v>
      </c>
      <c r="F75" s="257">
        <f t="shared" si="2"/>
        <v>121103.8786</v>
      </c>
      <c r="J75" s="8">
        <f t="shared" si="3"/>
        <v>0</v>
      </c>
    </row>
    <row r="76" spans="1:10" ht="12.75">
      <c r="A76" s="5">
        <f>BIL!I93</f>
        <v>75</v>
      </c>
      <c r="B76" s="7">
        <f>ROUND(BIL!J93,2)</f>
        <v>26836.29</v>
      </c>
      <c r="C76" s="7">
        <f>ROUND(BIL!K93,2)</f>
        <v>68408.8</v>
      </c>
      <c r="D76" s="7">
        <v>0</v>
      </c>
      <c r="E76" s="7">
        <v>0</v>
      </c>
      <c r="F76" s="257">
        <f t="shared" si="2"/>
        <v>122740.41750000001</v>
      </c>
      <c r="J76" s="8">
        <f t="shared" si="3"/>
        <v>0</v>
      </c>
    </row>
    <row r="77" spans="1:10" ht="12.75">
      <c r="A77" s="5">
        <f>BIL!I94</f>
        <v>76</v>
      </c>
      <c r="B77" s="7">
        <f>ROUND(BIL!J94,2)</f>
        <v>26440.11</v>
      </c>
      <c r="C77" s="7">
        <f>ROUND(BIL!K94,2)</f>
        <v>68145.69</v>
      </c>
      <c r="D77" s="7">
        <v>0</v>
      </c>
      <c r="E77" s="7">
        <v>0</v>
      </c>
      <c r="F77" s="257">
        <f t="shared" si="2"/>
        <v>123675.93239999999</v>
      </c>
      <c r="J77" s="8">
        <f t="shared" si="3"/>
        <v>0</v>
      </c>
    </row>
    <row r="78" spans="1:10" ht="12.75">
      <c r="A78" s="5">
        <f>BIL!I95</f>
        <v>77</v>
      </c>
      <c r="B78" s="7">
        <f>ROUND(BIL!J95,2)</f>
        <v>26440.11</v>
      </c>
      <c r="C78" s="7">
        <f>ROUND(BIL!K95,2)</f>
        <v>68145.69</v>
      </c>
      <c r="D78" s="7">
        <v>0</v>
      </c>
      <c r="E78" s="7">
        <v>0</v>
      </c>
      <c r="F78" s="257">
        <f t="shared" si="2"/>
        <v>125303.24730000002</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396.18</v>
      </c>
      <c r="C82" s="7">
        <f>ROUND(BIL!K99,2)</f>
        <v>263.11</v>
      </c>
      <c r="D82" s="7">
        <v>0</v>
      </c>
      <c r="E82" s="7">
        <v>0</v>
      </c>
      <c r="F82" s="257">
        <f t="shared" si="2"/>
        <v>747.144</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32618.62</v>
      </c>
      <c r="C146" s="7">
        <f>ROUND(BIL!K164,2)</f>
        <v>71619.69</v>
      </c>
      <c r="D146" s="7">
        <v>0</v>
      </c>
      <c r="E146" s="7">
        <v>0</v>
      </c>
      <c r="F146" s="257">
        <f t="shared" si="4"/>
        <v>254994.09999999998</v>
      </c>
      <c r="J146" s="8">
        <f t="shared" si="5"/>
        <v>0</v>
      </c>
    </row>
    <row r="147" spans="1:10" ht="12.75">
      <c r="A147" s="5">
        <f>BIL!I165</f>
        <v>146</v>
      </c>
      <c r="B147" s="7">
        <f>ROUND(BIL!J165,2)</f>
        <v>4066.27</v>
      </c>
      <c r="C147" s="7">
        <f>ROUND(BIL!K165,2)</f>
        <v>5263.85</v>
      </c>
      <c r="D147" s="7">
        <v>0</v>
      </c>
      <c r="E147" s="7">
        <v>0</v>
      </c>
      <c r="F147" s="257">
        <f t="shared" si="4"/>
        <v>21307.1962</v>
      </c>
      <c r="J147" s="8">
        <f t="shared" si="5"/>
        <v>0</v>
      </c>
    </row>
    <row r="148" spans="1:10" ht="12.75">
      <c r="A148" s="5">
        <f>BIL!I166</f>
        <v>147</v>
      </c>
      <c r="B148" s="7">
        <f>ROUND(BIL!J166,2)</f>
        <v>4066.27</v>
      </c>
      <c r="C148" s="7">
        <f>ROUND(BIL!K166,2)</f>
        <v>5263.85</v>
      </c>
      <c r="D148" s="7">
        <v>0</v>
      </c>
      <c r="E148" s="7">
        <v>0</v>
      </c>
      <c r="F148" s="257">
        <f t="shared" si="4"/>
        <v>21453.1359</v>
      </c>
      <c r="J148" s="8">
        <f t="shared" si="5"/>
        <v>0</v>
      </c>
    </row>
    <row r="149" spans="1:10" ht="12.75">
      <c r="A149" s="5">
        <f>BIL!I167</f>
        <v>148</v>
      </c>
      <c r="B149" s="7">
        <f>ROUND(BIL!J167,2)</f>
        <v>4007.43</v>
      </c>
      <c r="C149" s="7">
        <f>ROUND(BIL!K167,2)</f>
        <v>4834</v>
      </c>
      <c r="D149" s="7">
        <v>0</v>
      </c>
      <c r="E149" s="7">
        <v>0</v>
      </c>
      <c r="F149" s="257">
        <f t="shared" si="4"/>
        <v>20239.6364</v>
      </c>
      <c r="J149" s="8">
        <f t="shared" si="5"/>
        <v>0</v>
      </c>
    </row>
    <row r="150" spans="1:10" ht="12.75">
      <c r="A150" s="5">
        <f>BIL!I168</f>
        <v>149</v>
      </c>
      <c r="B150" s="7">
        <f>ROUND(BIL!J168,2)</f>
        <v>2356.23</v>
      </c>
      <c r="C150" s="7">
        <f>ROUND(BIL!K168,2)</f>
        <v>3063.24</v>
      </c>
      <c r="D150" s="7">
        <v>0</v>
      </c>
      <c r="E150" s="7">
        <v>0</v>
      </c>
      <c r="F150" s="257">
        <f t="shared" si="4"/>
        <v>12639.237899999998</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395.64</v>
      </c>
      <c r="C153" s="7">
        <f>ROUND(BIL!K171,2)</f>
        <v>445.66</v>
      </c>
      <c r="D153" s="7">
        <v>0</v>
      </c>
      <c r="E153" s="7">
        <v>0</v>
      </c>
      <c r="F153" s="257">
        <f t="shared" si="4"/>
        <v>1956.1792</v>
      </c>
      <c r="J153" s="8">
        <f t="shared" si="5"/>
        <v>0</v>
      </c>
    </row>
    <row r="154" spans="1:10" ht="12.75">
      <c r="A154" s="5">
        <f>BIL!I172</f>
        <v>153</v>
      </c>
      <c r="B154" s="7">
        <f>ROUND(BIL!J172,2)</f>
        <v>688.04</v>
      </c>
      <c r="C154" s="7">
        <f>ROUND(BIL!K172,2)</f>
        <v>813.95</v>
      </c>
      <c r="D154" s="7">
        <v>0</v>
      </c>
      <c r="E154" s="7">
        <v>0</v>
      </c>
      <c r="F154" s="257">
        <f t="shared" si="4"/>
        <v>3543.3882000000003</v>
      </c>
      <c r="J154" s="8">
        <f t="shared" si="5"/>
        <v>0</v>
      </c>
    </row>
    <row r="155" spans="1:10" ht="12.75">
      <c r="A155" s="5">
        <f>BIL!I173</f>
        <v>154</v>
      </c>
      <c r="B155" s="7">
        <f>ROUND(BIL!J173,2)</f>
        <v>567.52</v>
      </c>
      <c r="C155" s="7">
        <f>ROUND(BIL!K173,2)</f>
        <v>511.15</v>
      </c>
      <c r="D155" s="7">
        <v>0</v>
      </c>
      <c r="E155" s="7">
        <v>0</v>
      </c>
      <c r="F155" s="257">
        <f t="shared" si="4"/>
        <v>2448.3228</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58.84</v>
      </c>
      <c r="C157" s="7">
        <f>ROUND(BIL!K175,2)</f>
        <v>429.85</v>
      </c>
      <c r="D157" s="7">
        <v>0</v>
      </c>
      <c r="E157" s="7">
        <v>0</v>
      </c>
      <c r="F157" s="257">
        <f t="shared" si="4"/>
        <v>1432.9224000000002</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58.84</v>
      </c>
      <c r="C162" s="7">
        <f>ROUND(BIL!K180,2)</f>
        <v>429.85</v>
      </c>
      <c r="D162" s="7">
        <v>0</v>
      </c>
      <c r="E162" s="7">
        <v>0</v>
      </c>
      <c r="F162" s="257">
        <f t="shared" si="4"/>
        <v>1478.8494000000003</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28552.35</v>
      </c>
      <c r="C196" s="7">
        <f>ROUND(BIL!K214,2)</f>
        <v>66355.84</v>
      </c>
      <c r="D196" s="7">
        <v>0</v>
      </c>
      <c r="E196" s="7">
        <v>0</v>
      </c>
      <c r="F196" s="257">
        <f t="shared" si="6"/>
        <v>314464.8585</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28552.35</v>
      </c>
      <c r="C200" s="7">
        <f>ROUND(BIL!K218,2)</f>
        <v>66355.84</v>
      </c>
      <c r="D200" s="7">
        <v>0</v>
      </c>
      <c r="E200" s="7">
        <v>0</v>
      </c>
      <c r="F200" s="257">
        <f t="shared" si="6"/>
        <v>320915.41969999997</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74059.59</v>
      </c>
      <c r="C204" s="7">
        <f>ROUND(PRRAS!K19,2)</f>
        <v>113708.65</v>
      </c>
      <c r="D204" s="7">
        <v>0</v>
      </c>
      <c r="E204" s="7">
        <v>0</v>
      </c>
      <c r="F204" s="257">
        <f t="shared" si="6"/>
        <v>611998.0866999999</v>
      </c>
      <c r="J204" s="8">
        <f t="shared" si="7"/>
        <v>0</v>
      </c>
    </row>
    <row r="205" spans="1:10" ht="12.75">
      <c r="A205" s="5">
        <f>202+PRRAS!I20</f>
        <v>204</v>
      </c>
      <c r="B205" s="7">
        <f>ROUND(PRRAS!J20,2)</f>
        <v>0</v>
      </c>
      <c r="C205" s="7">
        <f>ROUND(PRRAS!K20,2)</f>
        <v>0</v>
      </c>
      <c r="D205" s="7">
        <v>0</v>
      </c>
      <c r="E205" s="7">
        <v>0</v>
      </c>
      <c r="F205" s="257">
        <f t="shared" si="6"/>
        <v>0</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0</v>
      </c>
      <c r="C207" s="7">
        <f>ROUND(PRRAS!K22,2)</f>
        <v>0</v>
      </c>
      <c r="D207" s="7">
        <v>0</v>
      </c>
      <c r="E207" s="7">
        <v>0</v>
      </c>
      <c r="F207" s="257">
        <f t="shared" si="8"/>
        <v>0</v>
      </c>
      <c r="J207" s="8">
        <f t="shared" si="7"/>
        <v>0</v>
      </c>
    </row>
    <row r="208" spans="1:10" ht="12.75">
      <c r="A208" s="5">
        <f>202+PRRAS!I23</f>
        <v>207</v>
      </c>
      <c r="B208" s="7">
        <f>ROUND(PRRAS!J23,2)</f>
        <v>0</v>
      </c>
      <c r="C208" s="7">
        <f>ROUND(PRRAS!K23,2)</f>
        <v>0</v>
      </c>
      <c r="D208" s="7">
        <v>0</v>
      </c>
      <c r="E208" s="7">
        <v>0</v>
      </c>
      <c r="F208" s="257">
        <f t="shared" si="8"/>
        <v>0</v>
      </c>
      <c r="J208" s="8">
        <f t="shared" si="7"/>
        <v>0</v>
      </c>
    </row>
    <row r="209" spans="1:10" ht="12.75">
      <c r="A209" s="5">
        <f>202+PRRAS!I24</f>
        <v>208</v>
      </c>
      <c r="B209" s="7">
        <f>ROUND(PRRAS!J24,2)</f>
        <v>0</v>
      </c>
      <c r="C209" s="7">
        <f>ROUND(PRRAS!K24,2)</f>
        <v>0</v>
      </c>
      <c r="D209" s="7">
        <v>0</v>
      </c>
      <c r="E209" s="7">
        <v>0</v>
      </c>
      <c r="F209" s="257">
        <f t="shared" si="8"/>
        <v>0</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0.26</v>
      </c>
      <c r="C214" s="7">
        <f>ROUND(PRRAS!K29,2)</f>
        <v>6.84</v>
      </c>
      <c r="D214" s="7">
        <v>0</v>
      </c>
      <c r="E214" s="7">
        <v>0</v>
      </c>
      <c r="F214" s="257">
        <f t="shared" si="8"/>
        <v>29.692199999999996</v>
      </c>
      <c r="J214" s="8">
        <f t="shared" si="7"/>
        <v>0</v>
      </c>
    </row>
    <row r="215" spans="1:10" ht="12.75">
      <c r="A215" s="5">
        <f>202+PRRAS!I30</f>
        <v>214</v>
      </c>
      <c r="B215" s="7">
        <f>ROUND(PRRAS!J30,2)</f>
        <v>0.26</v>
      </c>
      <c r="C215" s="7">
        <f>ROUND(PRRAS!K30,2)</f>
        <v>6.84</v>
      </c>
      <c r="D215" s="7">
        <v>0</v>
      </c>
      <c r="E215" s="7">
        <v>0</v>
      </c>
      <c r="F215" s="257">
        <f t="shared" si="8"/>
        <v>29.8316</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0.26</v>
      </c>
      <c r="C218" s="7">
        <f>ROUND(PRRAS!K33,2)</f>
        <v>6.84</v>
      </c>
      <c r="D218" s="7">
        <v>0</v>
      </c>
      <c r="E218" s="7">
        <v>0</v>
      </c>
      <c r="F218" s="257">
        <f t="shared" si="8"/>
        <v>30.249799999999997</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0</v>
      </c>
      <c r="D220" s="7">
        <v>0</v>
      </c>
      <c r="E220" s="7">
        <v>0</v>
      </c>
      <c r="F220" s="257">
        <f t="shared" si="8"/>
        <v>0</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74059.33</v>
      </c>
      <c r="C227" s="7">
        <f>ROUND(PRRAS!K42,2)</f>
        <v>113701.81</v>
      </c>
      <c r="D227" s="7">
        <v>0</v>
      </c>
      <c r="E227" s="7">
        <v>0</v>
      </c>
      <c r="F227" s="257">
        <f t="shared" si="8"/>
        <v>681306.267</v>
      </c>
      <c r="J227" s="8">
        <f t="shared" si="7"/>
        <v>0</v>
      </c>
    </row>
    <row r="228" spans="1:10" ht="12.75">
      <c r="A228" s="5">
        <f>202+PRRAS!I43</f>
        <v>227</v>
      </c>
      <c r="B228" s="7">
        <f>ROUND(PRRAS!J43,2)</f>
        <v>74059.33</v>
      </c>
      <c r="C228" s="7">
        <f>ROUND(PRRAS!K43,2)</f>
        <v>113589.12</v>
      </c>
      <c r="D228" s="7">
        <v>0</v>
      </c>
      <c r="E228" s="7">
        <v>0</v>
      </c>
      <c r="F228" s="257">
        <f t="shared" si="8"/>
        <v>683809.2838999999</v>
      </c>
      <c r="J228" s="8">
        <f t="shared" si="7"/>
        <v>0</v>
      </c>
    </row>
    <row r="229" spans="1:10" ht="12.75">
      <c r="A229" s="5">
        <f>202+PRRAS!I44</f>
        <v>228</v>
      </c>
      <c r="B229" s="7">
        <f>ROUND(PRRAS!J44,2)</f>
        <v>67423.19</v>
      </c>
      <c r="C229" s="7">
        <f>ROUND(PRRAS!K44,2)</f>
        <v>106289.12</v>
      </c>
      <c r="D229" s="7">
        <v>0</v>
      </c>
      <c r="E229" s="7">
        <v>0</v>
      </c>
      <c r="F229" s="257">
        <f t="shared" si="8"/>
        <v>638403.2603999999</v>
      </c>
      <c r="J229" s="8">
        <f t="shared" si="7"/>
        <v>0</v>
      </c>
    </row>
    <row r="230" spans="1:10" ht="12.75">
      <c r="A230" s="5">
        <f>202+PRRAS!I45</f>
        <v>229</v>
      </c>
      <c r="B230" s="7">
        <f>ROUND(PRRAS!J45,2)</f>
        <v>6636.14</v>
      </c>
      <c r="C230" s="7">
        <f>ROUND(PRRAS!K45,2)</f>
        <v>7300</v>
      </c>
      <c r="D230" s="7">
        <v>0</v>
      </c>
      <c r="E230" s="7">
        <v>0</v>
      </c>
      <c r="F230" s="257">
        <f t="shared" si="8"/>
        <v>48630.7606</v>
      </c>
      <c r="J230" s="8">
        <f t="shared" si="7"/>
        <v>0</v>
      </c>
    </row>
    <row r="231" spans="1:10" ht="12.75">
      <c r="A231" s="5">
        <f>202+PRRAS!I46</f>
        <v>230</v>
      </c>
      <c r="B231" s="7">
        <f>ROUND(PRRAS!J46,2)</f>
        <v>0</v>
      </c>
      <c r="C231" s="7">
        <f>ROUND(PRRAS!K46,2)</f>
        <v>0</v>
      </c>
      <c r="D231" s="7">
        <v>0</v>
      </c>
      <c r="E231" s="7">
        <v>0</v>
      </c>
      <c r="F231" s="257">
        <f t="shared" si="8"/>
        <v>0</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0</v>
      </c>
      <c r="C236" s="7">
        <f>ROUND(PRRAS!K51,2)</f>
        <v>0</v>
      </c>
      <c r="D236" s="7">
        <v>0</v>
      </c>
      <c r="E236" s="7">
        <v>0</v>
      </c>
      <c r="F236" s="257">
        <f t="shared" si="8"/>
        <v>0</v>
      </c>
      <c r="J236" s="8">
        <f t="shared" si="7"/>
        <v>0</v>
      </c>
    </row>
    <row r="237" spans="1:10" ht="12.75">
      <c r="A237" s="5">
        <f>202+PRRAS!I52</f>
        <v>236</v>
      </c>
      <c r="B237" s="7">
        <f>ROUND(PRRAS!J52,2)</f>
        <v>0</v>
      </c>
      <c r="C237" s="7">
        <f>ROUND(PRRAS!K52,2)</f>
        <v>0</v>
      </c>
      <c r="D237" s="7">
        <v>0</v>
      </c>
      <c r="E237" s="7">
        <v>0</v>
      </c>
      <c r="F237" s="257">
        <f t="shared" si="8"/>
        <v>0</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0</v>
      </c>
      <c r="C239" s="7">
        <f>ROUND(PRRAS!K54,2)</f>
        <v>112.69</v>
      </c>
      <c r="D239" s="7">
        <v>0</v>
      </c>
      <c r="E239" s="7">
        <v>0</v>
      </c>
      <c r="F239" s="257">
        <f t="shared" si="8"/>
        <v>536.4044</v>
      </c>
      <c r="J239" s="8">
        <f t="shared" si="7"/>
        <v>0</v>
      </c>
    </row>
    <row r="240" spans="1:10" ht="12.75">
      <c r="A240" s="5">
        <f>202+PRRAS!I55</f>
        <v>239</v>
      </c>
      <c r="B240" s="7">
        <f>ROUND(PRRAS!J55,2)</f>
        <v>0</v>
      </c>
      <c r="C240" s="7">
        <f>ROUND(PRRAS!K55,2)</f>
        <v>0</v>
      </c>
      <c r="D240" s="7">
        <v>0</v>
      </c>
      <c r="E240" s="7">
        <v>0</v>
      </c>
      <c r="F240" s="257">
        <f t="shared" si="8"/>
        <v>0</v>
      </c>
      <c r="J240" s="8">
        <f t="shared" si="7"/>
        <v>0</v>
      </c>
    </row>
    <row r="241" spans="1:10" ht="12.75">
      <c r="A241" s="5">
        <f>202+PRRAS!I56</f>
        <v>240</v>
      </c>
      <c r="B241" s="7">
        <f>ROUND(PRRAS!J56,2)</f>
        <v>0</v>
      </c>
      <c r="C241" s="7">
        <f>ROUND(PRRAS!K56,2)</f>
        <v>0</v>
      </c>
      <c r="D241" s="7">
        <v>0</v>
      </c>
      <c r="E241" s="7">
        <v>0</v>
      </c>
      <c r="F241" s="257">
        <f t="shared" si="8"/>
        <v>0</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0</v>
      </c>
      <c r="D243" s="7">
        <v>0</v>
      </c>
      <c r="E243" s="7">
        <v>0</v>
      </c>
      <c r="F243" s="257">
        <f t="shared" si="8"/>
        <v>0</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0</v>
      </c>
      <c r="D248" s="7">
        <v>0</v>
      </c>
      <c r="E248" s="7">
        <v>0</v>
      </c>
      <c r="F248" s="257">
        <f t="shared" si="8"/>
        <v>0</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0</v>
      </c>
      <c r="D251" s="7">
        <v>0</v>
      </c>
      <c r="E251" s="7">
        <v>0</v>
      </c>
      <c r="F251" s="257">
        <f t="shared" si="8"/>
        <v>0</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126342.39</v>
      </c>
      <c r="C257" s="7">
        <f>ROUND(PRRAS!K73,2)</f>
        <v>75905.16</v>
      </c>
      <c r="D257" s="7">
        <v>0</v>
      </c>
      <c r="E257" s="7">
        <v>0</v>
      </c>
      <c r="F257" s="257">
        <f t="shared" si="8"/>
        <v>712070.9376000001</v>
      </c>
      <c r="J257" s="8">
        <f t="shared" si="7"/>
        <v>0</v>
      </c>
    </row>
    <row r="258" spans="1:10" ht="12.75">
      <c r="A258" s="5">
        <f>202+PRRAS!I74</f>
        <v>257</v>
      </c>
      <c r="B258" s="7">
        <f>ROUND(PRRAS!J74,2)</f>
        <v>73043.86</v>
      </c>
      <c r="C258" s="7">
        <f>ROUND(PRRAS!K74,2)</f>
        <v>50154.17</v>
      </c>
      <c r="D258" s="7">
        <v>0</v>
      </c>
      <c r="E258" s="7">
        <v>0</v>
      </c>
      <c r="F258" s="257">
        <f t="shared" si="8"/>
        <v>445515.154</v>
      </c>
      <c r="J258" s="8">
        <f t="shared" si="7"/>
        <v>0</v>
      </c>
    </row>
    <row r="259" spans="1:10" ht="12.75">
      <c r="A259" s="5">
        <f>202+PRRAS!I75</f>
        <v>258</v>
      </c>
      <c r="B259" s="7">
        <f>ROUND(PRRAS!J75,2)</f>
        <v>63493.93</v>
      </c>
      <c r="C259" s="7">
        <f>ROUND(PRRAS!K75,2)</f>
        <v>43796.75</v>
      </c>
      <c r="D259" s="7">
        <v>0</v>
      </c>
      <c r="E259" s="7">
        <v>0</v>
      </c>
      <c r="F259" s="257">
        <f t="shared" si="8"/>
        <v>389805.56940000004</v>
      </c>
      <c r="J259" s="8">
        <f aca="true" t="shared" si="9" ref="J259:J322">ABS(B259-ROUND(B259,2))+ABS(C259-ROUND(C259,2))</f>
        <v>0</v>
      </c>
    </row>
    <row r="260" spans="1:10" ht="12.75">
      <c r="A260" s="5">
        <f>202+PRRAS!I76</f>
        <v>259</v>
      </c>
      <c r="B260" s="7">
        <f>ROUND(PRRAS!J76,2)</f>
        <v>63493.93</v>
      </c>
      <c r="C260" s="7">
        <f>ROUND(PRRAS!K76,2)</f>
        <v>43796.75</v>
      </c>
      <c r="D260" s="7">
        <v>0</v>
      </c>
      <c r="E260" s="7">
        <v>0</v>
      </c>
      <c r="F260" s="257">
        <f t="shared" si="8"/>
        <v>391316.44369999995</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597.25</v>
      </c>
      <c r="C264" s="7">
        <f>ROUND(PRRAS!K80,2)</f>
        <v>700</v>
      </c>
      <c r="D264" s="7">
        <v>0</v>
      </c>
      <c r="E264" s="7">
        <v>0</v>
      </c>
      <c r="F264" s="257">
        <f t="shared" si="8"/>
        <v>5252.7675</v>
      </c>
      <c r="J264" s="8">
        <f t="shared" si="9"/>
        <v>0</v>
      </c>
    </row>
    <row r="265" spans="1:10" ht="12.75">
      <c r="A265" s="5">
        <f>202+PRRAS!I81</f>
        <v>264</v>
      </c>
      <c r="B265" s="7">
        <f>ROUND(PRRAS!J81,2)</f>
        <v>8952.68</v>
      </c>
      <c r="C265" s="7">
        <f>ROUND(PRRAS!K81,2)</f>
        <v>5657.42</v>
      </c>
      <c r="D265" s="7">
        <v>0</v>
      </c>
      <c r="E265" s="7">
        <v>0</v>
      </c>
      <c r="F265" s="257">
        <f t="shared" si="8"/>
        <v>53506.2528</v>
      </c>
      <c r="J265" s="8">
        <f t="shared" si="9"/>
        <v>0</v>
      </c>
    </row>
    <row r="266" spans="1:10" ht="12.75">
      <c r="A266" s="5">
        <f>202+PRRAS!I82</f>
        <v>265</v>
      </c>
      <c r="B266" s="7">
        <f>ROUND(PRRAS!J82,2)</f>
        <v>8952.68</v>
      </c>
      <c r="C266" s="7">
        <f>ROUND(PRRAS!K82,2)</f>
        <v>5657.42</v>
      </c>
      <c r="D266" s="7">
        <v>0</v>
      </c>
      <c r="E266" s="7">
        <v>0</v>
      </c>
      <c r="F266" s="257">
        <f t="shared" si="8"/>
        <v>53708.928</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43074.92</v>
      </c>
      <c r="C270" s="7">
        <f>ROUND(PRRAS!K86,2)</f>
        <v>22756.3</v>
      </c>
      <c r="D270" s="7">
        <v>0</v>
      </c>
      <c r="E270" s="7">
        <v>0</v>
      </c>
      <c r="F270" s="257">
        <f t="shared" si="10"/>
        <v>238300.4288</v>
      </c>
      <c r="J270" s="8">
        <f t="shared" si="9"/>
        <v>0</v>
      </c>
    </row>
    <row r="271" spans="1:10" ht="12.75">
      <c r="A271" s="5">
        <f>202+PRRAS!I87</f>
        <v>270</v>
      </c>
      <c r="B271" s="7">
        <f>ROUND(PRRAS!J87,2)</f>
        <v>280.05</v>
      </c>
      <c r="C271" s="7">
        <f>ROUND(PRRAS!K87,2)</f>
        <v>1633.21</v>
      </c>
      <c r="D271" s="7">
        <v>0</v>
      </c>
      <c r="E271" s="7">
        <v>0</v>
      </c>
      <c r="F271" s="257">
        <f t="shared" si="10"/>
        <v>9575.469000000001</v>
      </c>
      <c r="J271" s="8">
        <f t="shared" si="9"/>
        <v>0</v>
      </c>
    </row>
    <row r="272" spans="1:10" ht="12.75">
      <c r="A272" s="5">
        <f>202+PRRAS!I88</f>
        <v>271</v>
      </c>
      <c r="B272" s="7">
        <f>ROUND(PRRAS!J88,2)</f>
        <v>280.05</v>
      </c>
      <c r="C272" s="7">
        <f>ROUND(PRRAS!K88,2)</f>
        <v>1633.21</v>
      </c>
      <c r="D272" s="7">
        <v>0</v>
      </c>
      <c r="E272" s="7">
        <v>0</v>
      </c>
      <c r="F272" s="257">
        <f t="shared" si="10"/>
        <v>9610.9337</v>
      </c>
      <c r="J272" s="8">
        <f t="shared" si="9"/>
        <v>0</v>
      </c>
    </row>
    <row r="273" spans="1:10" ht="12.75">
      <c r="A273" s="5">
        <f>202+PRRAS!I89</f>
        <v>272</v>
      </c>
      <c r="B273" s="7">
        <f>ROUND(PRRAS!J89,2)</f>
        <v>0</v>
      </c>
      <c r="C273" s="7">
        <f>ROUND(PRRAS!K89,2)</f>
        <v>0</v>
      </c>
      <c r="D273" s="7">
        <v>0</v>
      </c>
      <c r="E273" s="7">
        <v>0</v>
      </c>
      <c r="F273" s="257">
        <f t="shared" si="10"/>
        <v>0</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0</v>
      </c>
      <c r="C275" s="7">
        <f>ROUND(PRRAS!K91,2)</f>
        <v>0</v>
      </c>
      <c r="D275" s="7">
        <v>0</v>
      </c>
      <c r="E275" s="7">
        <v>0</v>
      </c>
      <c r="F275" s="257">
        <f t="shared" si="10"/>
        <v>0</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0</v>
      </c>
      <c r="C280" s="7">
        <f>ROUND(PRRAS!K96,2)</f>
        <v>115.12</v>
      </c>
      <c r="D280" s="7">
        <v>0</v>
      </c>
      <c r="E280" s="7">
        <v>0</v>
      </c>
      <c r="F280" s="257">
        <f t="shared" si="10"/>
        <v>642.3696</v>
      </c>
      <c r="J280" s="8">
        <f t="shared" si="9"/>
        <v>0</v>
      </c>
    </row>
    <row r="281" spans="1:10" ht="12.75">
      <c r="A281" s="5">
        <f>202+PRRAS!I97</f>
        <v>280</v>
      </c>
      <c r="B281" s="7">
        <f>ROUND(PRRAS!J97,2)</f>
        <v>0</v>
      </c>
      <c r="C281" s="7">
        <f>ROUND(PRRAS!K97,2)</f>
        <v>115.12</v>
      </c>
      <c r="D281" s="7">
        <v>0</v>
      </c>
      <c r="E281" s="7">
        <v>0</v>
      </c>
      <c r="F281" s="257">
        <f t="shared" si="10"/>
        <v>644.672</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5972.53</v>
      </c>
      <c r="C285" s="7">
        <f>ROUND(PRRAS!K101,2)</f>
        <v>0</v>
      </c>
      <c r="D285" s="7">
        <v>0</v>
      </c>
      <c r="E285" s="7">
        <v>0</v>
      </c>
      <c r="F285" s="257">
        <f t="shared" si="10"/>
        <v>16961.9852</v>
      </c>
      <c r="J285" s="8">
        <f t="shared" si="9"/>
        <v>0</v>
      </c>
    </row>
    <row r="286" spans="1:10" ht="12.75">
      <c r="A286" s="5">
        <f>202+PRRAS!I102</f>
        <v>285</v>
      </c>
      <c r="B286" s="7">
        <f>ROUND(PRRAS!J102,2)</f>
        <v>5972.53</v>
      </c>
      <c r="C286" s="7">
        <f>ROUND(PRRAS!K102,2)</f>
        <v>0</v>
      </c>
      <c r="D286" s="7">
        <v>0</v>
      </c>
      <c r="E286" s="7">
        <v>0</v>
      </c>
      <c r="F286" s="257">
        <f t="shared" si="10"/>
        <v>17021.7105</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19325.23</v>
      </c>
      <c r="C290" s="7">
        <f>ROUND(PRRAS!K106,2)</f>
        <v>9293.69</v>
      </c>
      <c r="D290" s="7">
        <v>0</v>
      </c>
      <c r="E290" s="7">
        <v>0</v>
      </c>
      <c r="F290" s="257">
        <f t="shared" si="10"/>
        <v>109567.44290000001</v>
      </c>
      <c r="J290" s="8">
        <f t="shared" si="9"/>
        <v>0</v>
      </c>
    </row>
    <row r="291" spans="1:10" ht="12.75">
      <c r="A291" s="5">
        <f>202+PRRAS!I107</f>
        <v>290</v>
      </c>
      <c r="B291" s="7">
        <f>ROUND(PRRAS!J107,2)</f>
        <v>1505.47</v>
      </c>
      <c r="C291" s="7">
        <f>ROUND(PRRAS!K107,2)</f>
        <v>1008.21</v>
      </c>
      <c r="D291" s="7">
        <v>0</v>
      </c>
      <c r="E291" s="7">
        <v>0</v>
      </c>
      <c r="F291" s="257">
        <f t="shared" si="10"/>
        <v>10213.481</v>
      </c>
      <c r="J291" s="8">
        <f t="shared" si="9"/>
        <v>0</v>
      </c>
    </row>
    <row r="292" spans="1:10" ht="12.75">
      <c r="A292" s="5">
        <f>202+PRRAS!I108</f>
        <v>291</v>
      </c>
      <c r="B292" s="7">
        <f>ROUND(PRRAS!J108,2)</f>
        <v>2049.11</v>
      </c>
      <c r="C292" s="7">
        <f>ROUND(PRRAS!K108,2)</f>
        <v>1848.65</v>
      </c>
      <c r="D292" s="7">
        <v>0</v>
      </c>
      <c r="E292" s="7">
        <v>0</v>
      </c>
      <c r="F292" s="257">
        <f t="shared" si="10"/>
        <v>16722.053100000005</v>
      </c>
      <c r="J292" s="8">
        <f t="shared" si="9"/>
        <v>0</v>
      </c>
    </row>
    <row r="293" spans="1:10" ht="12.75">
      <c r="A293" s="5">
        <f>202+PRRAS!I109</f>
        <v>292</v>
      </c>
      <c r="B293" s="7">
        <f>ROUND(PRRAS!J109,2)</f>
        <v>0</v>
      </c>
      <c r="C293" s="7">
        <f>ROUND(PRRAS!K109,2)</f>
        <v>0</v>
      </c>
      <c r="D293" s="7">
        <v>0</v>
      </c>
      <c r="E293" s="7">
        <v>0</v>
      </c>
      <c r="F293" s="257">
        <f t="shared" si="10"/>
        <v>0</v>
      </c>
      <c r="J293" s="8">
        <f t="shared" si="9"/>
        <v>0</v>
      </c>
    </row>
    <row r="294" spans="1:10" ht="12.75">
      <c r="A294" s="5">
        <f>202+PRRAS!I110</f>
        <v>293</v>
      </c>
      <c r="B294" s="7">
        <f>ROUND(PRRAS!J110,2)</f>
        <v>519.21</v>
      </c>
      <c r="C294" s="7">
        <f>ROUND(PRRAS!K110,2)</f>
        <v>303.72</v>
      </c>
      <c r="D294" s="7">
        <v>0</v>
      </c>
      <c r="E294" s="7">
        <v>0</v>
      </c>
      <c r="F294" s="257">
        <f t="shared" si="10"/>
        <v>3301.0845000000004</v>
      </c>
      <c r="J294" s="8">
        <f t="shared" si="9"/>
        <v>0</v>
      </c>
    </row>
    <row r="295" spans="1:10" ht="12.75">
      <c r="A295" s="5">
        <f>202+PRRAS!I111</f>
        <v>294</v>
      </c>
      <c r="B295" s="7">
        <f>ROUND(PRRAS!J111,2)</f>
        <v>821.95</v>
      </c>
      <c r="C295" s="7">
        <f>ROUND(PRRAS!K111,2)</f>
        <v>822.03</v>
      </c>
      <c r="D295" s="7">
        <v>0</v>
      </c>
      <c r="E295" s="7">
        <v>0</v>
      </c>
      <c r="F295" s="257">
        <f t="shared" si="10"/>
        <v>7250.0694</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0</v>
      </c>
      <c r="C297" s="7">
        <f>ROUND(PRRAS!K113,2)</f>
        <v>0</v>
      </c>
      <c r="D297" s="7">
        <v>0</v>
      </c>
      <c r="E297" s="7">
        <v>0</v>
      </c>
      <c r="F297" s="257">
        <f t="shared" si="10"/>
        <v>0</v>
      </c>
      <c r="J297" s="8">
        <f t="shared" si="9"/>
        <v>0</v>
      </c>
    </row>
    <row r="298" spans="1:10" ht="12.75">
      <c r="A298" s="5">
        <f>202+PRRAS!I114</f>
        <v>297</v>
      </c>
      <c r="B298" s="7">
        <f>ROUND(PRRAS!J114,2)</f>
        <v>3185.35</v>
      </c>
      <c r="C298" s="7">
        <f>ROUND(PRRAS!K114,2)</f>
        <v>1990.8</v>
      </c>
      <c r="D298" s="7">
        <v>0</v>
      </c>
      <c r="E298" s="7">
        <v>0</v>
      </c>
      <c r="F298" s="257">
        <f t="shared" si="10"/>
        <v>21285.841500000002</v>
      </c>
      <c r="J298" s="8">
        <f t="shared" si="9"/>
        <v>0</v>
      </c>
    </row>
    <row r="299" spans="1:10" ht="12.75">
      <c r="A299" s="5">
        <f>202+PRRAS!I115</f>
        <v>298</v>
      </c>
      <c r="B299" s="7">
        <f>ROUND(PRRAS!J115,2)</f>
        <v>11244.14</v>
      </c>
      <c r="C299" s="7">
        <f>ROUND(PRRAS!K115,2)</f>
        <v>3320.28</v>
      </c>
      <c r="D299" s="7">
        <v>0</v>
      </c>
      <c r="E299" s="7">
        <v>0</v>
      </c>
      <c r="F299" s="257">
        <f t="shared" si="10"/>
        <v>53296.406</v>
      </c>
      <c r="J299" s="8">
        <f t="shared" si="9"/>
        <v>0</v>
      </c>
    </row>
    <row r="300" spans="1:10" ht="12.75">
      <c r="A300" s="5">
        <f>202+PRRAS!I116</f>
        <v>299</v>
      </c>
      <c r="B300" s="7">
        <f>ROUND(PRRAS!J116,2)</f>
        <v>16667.87</v>
      </c>
      <c r="C300" s="7">
        <f>ROUND(PRRAS!K116,2)</f>
        <v>11414.48</v>
      </c>
      <c r="D300" s="7">
        <v>0</v>
      </c>
      <c r="E300" s="7">
        <v>0</v>
      </c>
      <c r="F300" s="257">
        <f t="shared" si="10"/>
        <v>118095.52170000001</v>
      </c>
      <c r="J300" s="8">
        <f t="shared" si="9"/>
        <v>0</v>
      </c>
    </row>
    <row r="301" spans="1:10" ht="12.75">
      <c r="A301" s="5">
        <f>202+PRRAS!I117</f>
        <v>300</v>
      </c>
      <c r="B301" s="7">
        <f>ROUND(PRRAS!J117,2)</f>
        <v>11161.46</v>
      </c>
      <c r="C301" s="7">
        <f>ROUND(PRRAS!K117,2)</f>
        <v>6966.57</v>
      </c>
      <c r="D301" s="7">
        <v>0</v>
      </c>
      <c r="E301" s="7">
        <v>0</v>
      </c>
      <c r="F301" s="257">
        <f t="shared" si="10"/>
        <v>75283.79999999999</v>
      </c>
      <c r="J301" s="8">
        <f t="shared" si="9"/>
        <v>0</v>
      </c>
    </row>
    <row r="302" spans="1:10" ht="12.75">
      <c r="A302" s="5">
        <f>202+PRRAS!I118</f>
        <v>301</v>
      </c>
      <c r="B302" s="7">
        <f>ROUND(PRRAS!J118,2)</f>
        <v>0</v>
      </c>
      <c r="C302" s="7">
        <f>ROUND(PRRAS!K118,2)</f>
        <v>0</v>
      </c>
      <c r="D302" s="7">
        <v>0</v>
      </c>
      <c r="E302" s="7">
        <v>0</v>
      </c>
      <c r="F302" s="257">
        <f t="shared" si="10"/>
        <v>0</v>
      </c>
      <c r="J302" s="8">
        <f t="shared" si="9"/>
        <v>0</v>
      </c>
    </row>
    <row r="303" spans="1:10" ht="12.75">
      <c r="A303" s="5">
        <f>202+PRRAS!I119</f>
        <v>302</v>
      </c>
      <c r="B303" s="7">
        <f>ROUND(PRRAS!J119,2)</f>
        <v>4926.94</v>
      </c>
      <c r="C303" s="7">
        <f>ROUND(PRRAS!K119,2)</f>
        <v>4389.49</v>
      </c>
      <c r="D303" s="7">
        <v>0</v>
      </c>
      <c r="E303" s="7">
        <v>0</v>
      </c>
      <c r="F303" s="257">
        <f t="shared" si="10"/>
        <v>41391.8784</v>
      </c>
      <c r="J303" s="8">
        <f t="shared" si="9"/>
        <v>0</v>
      </c>
    </row>
    <row r="304" spans="1:10" ht="12.75">
      <c r="A304" s="5">
        <f>202+PRRAS!I120</f>
        <v>303</v>
      </c>
      <c r="B304" s="7">
        <f>ROUND(PRRAS!J120,2)</f>
        <v>579.47</v>
      </c>
      <c r="C304" s="7">
        <f>ROUND(PRRAS!K120,2)</f>
        <v>58.42</v>
      </c>
      <c r="D304" s="7">
        <v>0</v>
      </c>
      <c r="E304" s="7">
        <v>0</v>
      </c>
      <c r="F304" s="257">
        <f t="shared" si="10"/>
        <v>2109.8193</v>
      </c>
      <c r="J304" s="8">
        <f t="shared" si="9"/>
        <v>0</v>
      </c>
    </row>
    <row r="305" spans="1:10" ht="12.75">
      <c r="A305" s="5">
        <f>202+PRRAS!I121</f>
        <v>304</v>
      </c>
      <c r="B305" s="7">
        <f>ROUND(PRRAS!J121,2)</f>
        <v>829.24</v>
      </c>
      <c r="C305" s="7">
        <f>ROUND(PRRAS!K121,2)</f>
        <v>299.8</v>
      </c>
      <c r="D305" s="7">
        <v>0</v>
      </c>
      <c r="E305" s="7">
        <v>0</v>
      </c>
      <c r="F305" s="257">
        <f t="shared" si="10"/>
        <v>4343.6736</v>
      </c>
      <c r="J305" s="8">
        <f t="shared" si="9"/>
        <v>0</v>
      </c>
    </row>
    <row r="306" spans="1:10" ht="12.75">
      <c r="A306" s="5">
        <f>202+PRRAS!I122</f>
        <v>305</v>
      </c>
      <c r="B306" s="7">
        <f>ROUND(PRRAS!J122,2)</f>
        <v>0</v>
      </c>
      <c r="C306" s="7">
        <f>ROUND(PRRAS!K122,2)</f>
        <v>0</v>
      </c>
      <c r="D306" s="7">
        <v>0</v>
      </c>
      <c r="E306" s="7">
        <v>0</v>
      </c>
      <c r="F306" s="257">
        <f t="shared" si="10"/>
        <v>0</v>
      </c>
      <c r="J306" s="8">
        <f t="shared" si="9"/>
        <v>0</v>
      </c>
    </row>
    <row r="307" spans="1:10" ht="12.75">
      <c r="A307" s="5">
        <f>202+PRRAS!I123</f>
        <v>306</v>
      </c>
      <c r="B307" s="7">
        <f>ROUND(PRRAS!J123,2)</f>
        <v>630.16</v>
      </c>
      <c r="C307" s="7">
        <f>ROUND(PRRAS!K123,2)</f>
        <v>244.8</v>
      </c>
      <c r="D307" s="7">
        <v>0</v>
      </c>
      <c r="E307" s="7">
        <v>0</v>
      </c>
      <c r="F307" s="257">
        <f t="shared" si="10"/>
        <v>3426.4656</v>
      </c>
      <c r="J307" s="8">
        <f t="shared" si="9"/>
        <v>0</v>
      </c>
    </row>
    <row r="308" spans="1:10" ht="12.75">
      <c r="A308" s="5">
        <f>202+PRRAS!I124</f>
        <v>307</v>
      </c>
      <c r="B308" s="7">
        <f>ROUND(PRRAS!J124,2)</f>
        <v>53.08</v>
      </c>
      <c r="C308" s="7">
        <f>ROUND(PRRAS!K124,2)</f>
        <v>15</v>
      </c>
      <c r="D308" s="7">
        <v>0</v>
      </c>
      <c r="E308" s="7">
        <v>0</v>
      </c>
      <c r="F308" s="257">
        <f t="shared" si="10"/>
        <v>255.05559999999997</v>
      </c>
      <c r="J308" s="8">
        <f t="shared" si="9"/>
        <v>0</v>
      </c>
    </row>
    <row r="309" spans="1:10" ht="12.75">
      <c r="A309" s="5">
        <f>202+PRRAS!I125</f>
        <v>308</v>
      </c>
      <c r="B309" s="7">
        <f>ROUND(PRRAS!J125,2)</f>
        <v>146</v>
      </c>
      <c r="C309" s="7">
        <f>ROUND(PRRAS!K125,2)</f>
        <v>0</v>
      </c>
      <c r="D309" s="7">
        <v>0</v>
      </c>
      <c r="E309" s="7">
        <v>0</v>
      </c>
      <c r="F309" s="257">
        <f t="shared" si="10"/>
        <v>449.68</v>
      </c>
      <c r="J309" s="8">
        <f t="shared" si="9"/>
        <v>0</v>
      </c>
    </row>
    <row r="310" spans="1:10" ht="12.75">
      <c r="A310" s="5">
        <f>202+PRRAS!I126</f>
        <v>309</v>
      </c>
      <c r="B310" s="7">
        <f>ROUND(PRRAS!J126,2)</f>
        <v>0</v>
      </c>
      <c r="C310" s="7">
        <f>ROUND(PRRAS!K126,2)</f>
        <v>40</v>
      </c>
      <c r="D310" s="7">
        <v>0</v>
      </c>
      <c r="E310" s="7">
        <v>0</v>
      </c>
      <c r="F310" s="257">
        <f t="shared" si="10"/>
        <v>247.2</v>
      </c>
      <c r="J310" s="8">
        <f t="shared" si="9"/>
        <v>0</v>
      </c>
    </row>
    <row r="311" spans="1:10" ht="12.75">
      <c r="A311" s="5">
        <f>202+PRRAS!I127</f>
        <v>310</v>
      </c>
      <c r="B311" s="7">
        <f>ROUND(PRRAS!J127,2)</f>
        <v>2571.5</v>
      </c>
      <c r="C311" s="7">
        <f>ROUND(PRRAS!K127,2)</f>
        <v>2571.5</v>
      </c>
      <c r="D311" s="7">
        <v>0</v>
      </c>
      <c r="E311" s="7">
        <v>0</v>
      </c>
      <c r="F311" s="257">
        <f t="shared" si="10"/>
        <v>23914.95</v>
      </c>
      <c r="J311" s="8">
        <f t="shared" si="9"/>
        <v>0</v>
      </c>
    </row>
    <row r="312" spans="1:10" ht="12.75">
      <c r="A312" s="5">
        <f>202+PRRAS!I128</f>
        <v>311</v>
      </c>
      <c r="B312" s="7">
        <f>ROUND(PRRAS!J128,2)</f>
        <v>380.25</v>
      </c>
      <c r="C312" s="7">
        <f>ROUND(PRRAS!K128,2)</f>
        <v>306.83</v>
      </c>
      <c r="D312" s="7">
        <v>0</v>
      </c>
      <c r="E312" s="7">
        <v>0</v>
      </c>
      <c r="F312" s="257">
        <f t="shared" si="10"/>
        <v>3091.0600999999997</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380.25</v>
      </c>
      <c r="C318" s="7">
        <f>ROUND(PRRAS!K134,2)</f>
        <v>306.83</v>
      </c>
      <c r="D318" s="7">
        <v>0</v>
      </c>
      <c r="E318" s="7">
        <v>0</v>
      </c>
      <c r="F318" s="257">
        <f t="shared" si="10"/>
        <v>3150.6947</v>
      </c>
      <c r="J318" s="8">
        <f t="shared" si="9"/>
        <v>0</v>
      </c>
    </row>
    <row r="319" spans="1:10" ht="12.75">
      <c r="A319" s="5">
        <f>202+PRRAS!I135</f>
        <v>318</v>
      </c>
      <c r="B319" s="7">
        <f>ROUND(PRRAS!J135,2)</f>
        <v>380.25</v>
      </c>
      <c r="C319" s="7">
        <f>ROUND(PRRAS!K135,2)</f>
        <v>306.83</v>
      </c>
      <c r="D319" s="7">
        <v>0</v>
      </c>
      <c r="E319" s="7">
        <v>0</v>
      </c>
      <c r="F319" s="257">
        <f t="shared" si="10"/>
        <v>3160.6338</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0</v>
      </c>
      <c r="C321" s="7">
        <f>ROUND(PRRAS!K137,2)</f>
        <v>0</v>
      </c>
      <c r="D321" s="7">
        <v>0</v>
      </c>
      <c r="E321" s="7">
        <v>0</v>
      </c>
      <c r="F321" s="257">
        <f t="shared" si="10"/>
        <v>0</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7271.86</v>
      </c>
      <c r="C323" s="7">
        <f>ROUND(PRRAS!K139,2)</f>
        <v>116.36</v>
      </c>
      <c r="D323" s="7">
        <v>0</v>
      </c>
      <c r="E323" s="7">
        <v>0</v>
      </c>
      <c r="F323" s="257">
        <f t="shared" si="10"/>
        <v>24164.747600000002</v>
      </c>
      <c r="J323" s="8">
        <f aca="true" t="shared" si="11" ref="J323:J374">ABS(B323-ROUND(B323,2))+ABS(C323-ROUND(C323,2))</f>
        <v>0</v>
      </c>
    </row>
    <row r="324" spans="1:10" ht="12.75">
      <c r="A324" s="5">
        <f>202+PRRAS!I140</f>
        <v>323</v>
      </c>
      <c r="B324" s="7">
        <f>ROUND(PRRAS!J140,2)</f>
        <v>7271.86</v>
      </c>
      <c r="C324" s="7">
        <f>ROUND(PRRAS!K140,2)</f>
        <v>0</v>
      </c>
      <c r="D324" s="7">
        <v>0</v>
      </c>
      <c r="E324" s="7">
        <v>0</v>
      </c>
      <c r="F324" s="257">
        <f t="shared" si="10"/>
        <v>23488.107799999998</v>
      </c>
      <c r="J324" s="8">
        <f t="shared" si="11"/>
        <v>0</v>
      </c>
    </row>
    <row r="325" spans="1:10" ht="12.75">
      <c r="A325" s="5">
        <f>202+PRRAS!I141</f>
        <v>324</v>
      </c>
      <c r="B325" s="7">
        <f>ROUND(PRRAS!J141,2)</f>
        <v>7271.86</v>
      </c>
      <c r="C325" s="7">
        <f>ROUND(PRRAS!K141,2)</f>
        <v>0</v>
      </c>
      <c r="D325" s="7">
        <v>0</v>
      </c>
      <c r="E325" s="7">
        <v>0</v>
      </c>
      <c r="F325" s="257">
        <f t="shared" si="10"/>
        <v>23560.8264</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116.36</v>
      </c>
      <c r="D328" s="7">
        <v>0</v>
      </c>
      <c r="E328" s="7">
        <v>0</v>
      </c>
      <c r="F328" s="257">
        <f t="shared" si="10"/>
        <v>760.9944</v>
      </c>
      <c r="J328" s="8">
        <f t="shared" si="11"/>
        <v>0</v>
      </c>
    </row>
    <row r="329" spans="1:10" ht="12.75">
      <c r="A329" s="5">
        <f>202+PRRAS!I145</f>
        <v>328</v>
      </c>
      <c r="B329" s="7">
        <f>ROUND(PRRAS!J145,2)</f>
        <v>0</v>
      </c>
      <c r="C329" s="7">
        <f>ROUND(PRRAS!K145,2)</f>
        <v>116.36</v>
      </c>
      <c r="D329" s="7">
        <v>0</v>
      </c>
      <c r="E329" s="7">
        <v>0</v>
      </c>
      <c r="F329" s="257">
        <f t="shared" si="10"/>
        <v>763.3216</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0</v>
      </c>
      <c r="C331" s="7">
        <f>ROUND(PRRAS!K147,2)</f>
        <v>0</v>
      </c>
      <c r="D331" s="7">
        <v>0</v>
      </c>
      <c r="E331" s="7">
        <v>0</v>
      </c>
      <c r="F331" s="257">
        <f t="shared" si="10"/>
        <v>0</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0</v>
      </c>
      <c r="C337" s="7">
        <f>ROUND(PRRAS!K153,2)</f>
        <v>0</v>
      </c>
      <c r="D337" s="7">
        <v>0</v>
      </c>
      <c r="E337" s="7">
        <v>0</v>
      </c>
      <c r="F337" s="257">
        <f t="shared" si="12"/>
        <v>0</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0</v>
      </c>
      <c r="C341" s="7">
        <f>ROUND(PRRAS!K157,2)</f>
        <v>0</v>
      </c>
      <c r="D341" s="7">
        <v>0</v>
      </c>
      <c r="E341" s="7">
        <v>0</v>
      </c>
      <c r="F341" s="257">
        <f t="shared" si="12"/>
        <v>0</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126342.39</v>
      </c>
      <c r="C351" s="7">
        <f>ROUND(PRRAS!K167,2)</f>
        <v>75905.16</v>
      </c>
      <c r="D351" s="7">
        <v>0</v>
      </c>
      <c r="E351" s="7">
        <v>0</v>
      </c>
      <c r="F351" s="257">
        <f t="shared" si="12"/>
        <v>973534.485</v>
      </c>
      <c r="J351" s="8">
        <f t="shared" si="11"/>
        <v>0</v>
      </c>
    </row>
    <row r="352" spans="1:10" ht="12.75">
      <c r="A352" s="5">
        <f>202+PRRAS!I168</f>
        <v>351</v>
      </c>
      <c r="B352" s="7">
        <f>ROUND(PRRAS!J168,2)</f>
        <v>0</v>
      </c>
      <c r="C352" s="7">
        <f>ROUND(PRRAS!K168,2)</f>
        <v>37803.49</v>
      </c>
      <c r="D352" s="7">
        <v>0</v>
      </c>
      <c r="E352" s="7">
        <v>0</v>
      </c>
      <c r="F352" s="257">
        <f t="shared" si="12"/>
        <v>265380.4998</v>
      </c>
      <c r="J352" s="8">
        <f t="shared" si="11"/>
        <v>0</v>
      </c>
    </row>
    <row r="353" spans="1:10" ht="12.75">
      <c r="A353" s="5">
        <f>202+PRRAS!I169</f>
        <v>352</v>
      </c>
      <c r="B353" s="7">
        <f>ROUND(PRRAS!J169,2)</f>
        <v>52282.8</v>
      </c>
      <c r="C353" s="7">
        <f>ROUND(PRRAS!K169,2)</f>
        <v>0</v>
      </c>
      <c r="D353" s="7">
        <v>0</v>
      </c>
      <c r="E353" s="7">
        <v>0</v>
      </c>
      <c r="F353" s="257">
        <f t="shared" si="12"/>
        <v>184035.456</v>
      </c>
      <c r="J353" s="8">
        <f t="shared" si="11"/>
        <v>0</v>
      </c>
    </row>
    <row r="354" spans="1:10" ht="12.75">
      <c r="A354" s="5">
        <f>202+PRRAS!I170</f>
        <v>353</v>
      </c>
      <c r="B354" s="7">
        <f>ROUND(PRRAS!J170,2)</f>
        <v>80835.15</v>
      </c>
      <c r="C354" s="7">
        <f>ROUND(PRRAS!K170,2)</f>
        <v>28552.35</v>
      </c>
      <c r="D354" s="7">
        <v>0</v>
      </c>
      <c r="E354" s="7">
        <v>0</v>
      </c>
      <c r="F354" s="257">
        <f t="shared" si="12"/>
        <v>486927.6705</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28552.35</v>
      </c>
      <c r="C357" s="7">
        <f>ROUND(PRRAS!K173,2)</f>
        <v>66355.84</v>
      </c>
      <c r="D357" s="7">
        <v>0</v>
      </c>
      <c r="E357" s="7">
        <v>0</v>
      </c>
      <c r="F357" s="257">
        <f t="shared" si="12"/>
        <v>574099.9468</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79068.02</v>
      </c>
      <c r="C359" s="7">
        <f>ROUND(PRRAS!K176,2)</f>
        <v>26836.29</v>
      </c>
      <c r="D359" s="7">
        <v>0</v>
      </c>
      <c r="E359" s="7">
        <v>0</v>
      </c>
      <c r="F359" s="257">
        <f t="shared" si="12"/>
        <v>475211.348</v>
      </c>
      <c r="J359" s="8">
        <f t="shared" si="11"/>
        <v>0</v>
      </c>
    </row>
    <row r="360" spans="1:10" ht="12.75">
      <c r="A360" s="5">
        <f>202+PRRAS!I177</f>
        <v>359</v>
      </c>
      <c r="B360" s="7">
        <f>ROUND(PRRAS!J177,2)</f>
        <v>113271.62</v>
      </c>
      <c r="C360" s="7">
        <f>ROUND(PRRAS!K177,2)</f>
        <v>136090.75</v>
      </c>
      <c r="D360" s="7">
        <v>0</v>
      </c>
      <c r="E360" s="7">
        <v>0</v>
      </c>
      <c r="F360" s="257">
        <f t="shared" si="12"/>
        <v>1383776.7008</v>
      </c>
      <c r="J360" s="8">
        <f t="shared" si="11"/>
        <v>0</v>
      </c>
    </row>
    <row r="361" spans="1:10" ht="12.75">
      <c r="A361" s="5">
        <f>202+PRRAS!I178</f>
        <v>360</v>
      </c>
      <c r="B361" s="7">
        <f>ROUND(PRRAS!J178,2)</f>
        <v>165503.35</v>
      </c>
      <c r="C361" s="7">
        <f>ROUND(PRRAS!K178,2)</f>
        <v>94518.24</v>
      </c>
      <c r="D361" s="7">
        <v>0</v>
      </c>
      <c r="E361" s="7">
        <v>0</v>
      </c>
      <c r="F361" s="257">
        <f t="shared" si="12"/>
        <v>1276343.3880000003</v>
      </c>
      <c r="J361" s="8">
        <f t="shared" si="11"/>
        <v>0</v>
      </c>
    </row>
    <row r="362" spans="1:10" ht="12.75">
      <c r="A362" s="5">
        <f>202+PRRAS!I179</f>
        <v>361</v>
      </c>
      <c r="B362" s="7">
        <f>ROUND(PRRAS!J179,2)</f>
        <v>26836.29</v>
      </c>
      <c r="C362" s="7">
        <f>ROUND(PRRAS!K179,2)</f>
        <v>68408.8</v>
      </c>
      <c r="D362" s="7">
        <v>0</v>
      </c>
      <c r="E362" s="7">
        <v>0</v>
      </c>
      <c r="F362" s="257">
        <f t="shared" si="12"/>
        <v>590790.5429</v>
      </c>
      <c r="J362" s="8">
        <f t="shared" si="11"/>
        <v>0</v>
      </c>
    </row>
    <row r="363" spans="1:10" ht="12.75">
      <c r="A363" s="5">
        <f>202+PRRAS!I180</f>
        <v>362</v>
      </c>
      <c r="B363" s="7">
        <f>ROUND(PRRAS!J180,2)</f>
        <v>4</v>
      </c>
      <c r="C363" s="7">
        <f>ROUND(PRRAS!K180,2)</f>
        <v>3</v>
      </c>
      <c r="D363" s="7">
        <v>0</v>
      </c>
      <c r="E363" s="7">
        <v>0</v>
      </c>
      <c r="F363" s="257">
        <f t="shared" si="12"/>
        <v>36.2</v>
      </c>
      <c r="J363" s="8">
        <f>ABS(B363-ROUND(B363,0))+ABS(C363-ROUND(C363,0))</f>
        <v>0</v>
      </c>
    </row>
    <row r="364" spans="1:10" ht="12.75">
      <c r="A364" s="5">
        <f>202+PRRAS!I181</f>
        <v>363</v>
      </c>
      <c r="B364" s="7">
        <f>ROUND(PRRAS!J181,2)</f>
        <v>4</v>
      </c>
      <c r="C364" s="7">
        <f>ROUND(PRRAS!K181,2)</f>
        <v>3</v>
      </c>
      <c r="D364" s="7">
        <v>0</v>
      </c>
      <c r="E364" s="7">
        <v>0</v>
      </c>
      <c r="F364" s="257">
        <f t="shared" si="12"/>
        <v>36.3</v>
      </c>
      <c r="J364" s="8">
        <f>ABS(B364-ROUND(B364,0))+ABS(C364-ROUND(C364,0))</f>
        <v>0</v>
      </c>
    </row>
    <row r="365" spans="1:10" ht="12.75">
      <c r="A365" s="5">
        <f>202+PRRAS!I182</f>
        <v>364</v>
      </c>
      <c r="B365" s="7">
        <f>ROUND(PRRAS!J182,2)</f>
        <v>3</v>
      </c>
      <c r="C365" s="7">
        <f>ROUND(PRRAS!K182,2)</f>
        <v>7</v>
      </c>
      <c r="D365" s="7">
        <v>0</v>
      </c>
      <c r="E365" s="7">
        <v>0</v>
      </c>
      <c r="F365" s="257">
        <f t="shared" si="12"/>
        <v>61.88</v>
      </c>
      <c r="J365" s="8">
        <f>ABS(B365-ROUND(B365,0))+ABS(C365-ROUND(C365,0))</f>
        <v>0</v>
      </c>
    </row>
    <row r="366" spans="1:10" ht="12.75">
      <c r="A366" s="5">
        <f>202+PRRAS!I183</f>
        <v>365</v>
      </c>
      <c r="B366" s="7">
        <f>ROUND(PRRAS!J183,2)</f>
        <v>600</v>
      </c>
      <c r="C366" s="7">
        <f>ROUND(PRRAS!K183,2)</f>
        <v>1080</v>
      </c>
      <c r="D366" s="7">
        <v>0</v>
      </c>
      <c r="E366" s="7">
        <v>0</v>
      </c>
      <c r="F366" s="257">
        <f t="shared" si="12"/>
        <v>10074</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611</v>
      </c>
      <c r="C374" s="7">
        <f>ROUND(PRRAS!K194,2)</f>
        <v>1093</v>
      </c>
      <c r="D374" s="7">
        <v>0</v>
      </c>
      <c r="E374" s="7">
        <v>0</v>
      </c>
      <c r="F374" s="257">
        <f t="shared" si="13"/>
        <v>10432.81</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f>TRIM(UPPER(RefStr!C13))</f>
      </c>
      <c r="H2" s="13">
        <v>0</v>
      </c>
      <c r="I2" s="9" t="s">
        <v>1319</v>
      </c>
      <c r="J2" s="8">
        <v>0</v>
      </c>
    </row>
    <row r="3" spans="1:10" ht="12.75">
      <c r="A3" s="5">
        <v>2</v>
      </c>
      <c r="B3" s="7">
        <v>0</v>
      </c>
      <c r="C3" s="7">
        <v>0</v>
      </c>
      <c r="D3" s="7">
        <v>0</v>
      </c>
      <c r="E3" s="7">
        <v>0</v>
      </c>
      <c r="F3" s="257">
        <f t="shared" si="0"/>
        <v>0</v>
      </c>
      <c r="G3" s="6" t="str">
        <f>TEXT(INT(VALUE(RefStr!J11)),"00000000")</f>
        <v>01692569</v>
      </c>
      <c r="I3" s="9" t="s">
        <v>1320</v>
      </c>
      <c r="J3" s="8">
        <v>0</v>
      </c>
    </row>
    <row r="4" spans="1:10" ht="12.75">
      <c r="A4" s="5">
        <v>3</v>
      </c>
      <c r="B4" s="7">
        <v>0</v>
      </c>
      <c r="C4" s="7">
        <v>0</v>
      </c>
      <c r="D4" s="7">
        <v>0</v>
      </c>
      <c r="E4" s="7">
        <v>0</v>
      </c>
      <c r="F4" s="257">
        <f t="shared" si="0"/>
        <v>0</v>
      </c>
      <c r="G4" s="6" t="str">
        <f>IF(ISERROR(RefStr!C7),"-",UPPER(TRIM(RefStr!C7)))</f>
        <v>UDRUGA LET</v>
      </c>
      <c r="I4" s="9" t="s">
        <v>1321</v>
      </c>
      <c r="J4" s="8">
        <v>0</v>
      </c>
    </row>
    <row r="5" spans="1:10" ht="12.75">
      <c r="A5" s="5">
        <v>4</v>
      </c>
      <c r="B5" s="7">
        <v>0</v>
      </c>
      <c r="C5" s="7">
        <v>0</v>
      </c>
      <c r="D5" s="7">
        <v>0</v>
      </c>
      <c r="E5" s="7">
        <v>0</v>
      </c>
      <c r="F5" s="257">
        <f t="shared" si="0"/>
        <v>0</v>
      </c>
      <c r="G5" s="6" t="str">
        <f>TEXT(INT(VALUE(RefStr!C9)),"00000")</f>
        <v>10000</v>
      </c>
      <c r="I5" s="9" t="s">
        <v>1322</v>
      </c>
      <c r="J5" s="8">
        <v>0</v>
      </c>
    </row>
    <row r="6" spans="1:10" ht="12.75">
      <c r="A6" s="5">
        <v>5</v>
      </c>
      <c r="B6" s="7">
        <v>0</v>
      </c>
      <c r="C6" s="7">
        <v>0</v>
      </c>
      <c r="D6" s="7">
        <v>0</v>
      </c>
      <c r="E6" s="7">
        <v>0</v>
      </c>
      <c r="F6" s="257">
        <f t="shared" si="0"/>
        <v>0</v>
      </c>
      <c r="G6" s="6" t="str">
        <f>IF(ISERROR(RefStr!E9),"-",UPPER(TRIM(RefStr!E9)))</f>
        <v>ZAGREB</v>
      </c>
      <c r="I6" s="9" t="s">
        <v>1323</v>
      </c>
      <c r="J6" s="8">
        <v>0</v>
      </c>
    </row>
    <row r="7" spans="1:10" ht="12.75">
      <c r="A7" s="5">
        <v>6</v>
      </c>
      <c r="B7" s="7">
        <v>0</v>
      </c>
      <c r="C7" s="7">
        <v>0</v>
      </c>
      <c r="D7" s="7">
        <v>0</v>
      </c>
      <c r="E7" s="7">
        <v>0</v>
      </c>
      <c r="F7" s="257">
        <f t="shared" si="0"/>
        <v>0</v>
      </c>
      <c r="G7" s="6" t="str">
        <f>IF(ISERROR(RefStr!C11),"-",(TRIM(RefStr!C11)))</f>
        <v>RATARSKA 7</v>
      </c>
      <c r="I7" s="9" t="s">
        <v>1324</v>
      </c>
      <c r="J7" s="8">
        <v>0</v>
      </c>
    </row>
    <row r="8" spans="1:10" ht="12.75">
      <c r="A8" s="5">
        <v>7</v>
      </c>
      <c r="B8" s="7">
        <v>0</v>
      </c>
      <c r="C8" s="7">
        <v>0</v>
      </c>
      <c r="D8" s="7">
        <v>0</v>
      </c>
      <c r="E8" s="7">
        <v>0</v>
      </c>
      <c r="F8" s="257">
        <f t="shared" si="0"/>
        <v>0</v>
      </c>
      <c r="G8" s="6" t="str">
        <f>TEXT(INT(VALUE(RefStr!C15)),"0000")</f>
        <v>9499</v>
      </c>
      <c r="I8" s="9" t="s">
        <v>1325</v>
      </c>
      <c r="J8" s="8">
        <v>0</v>
      </c>
    </row>
    <row r="9" spans="1:10" ht="12.75">
      <c r="A9" s="5">
        <v>8</v>
      </c>
      <c r="B9" s="7">
        <v>0</v>
      </c>
      <c r="C9" s="7">
        <v>0</v>
      </c>
      <c r="D9" s="7">
        <v>0</v>
      </c>
      <c r="E9" s="7">
        <v>0</v>
      </c>
      <c r="F9" s="257">
        <f t="shared" si="0"/>
        <v>0</v>
      </c>
      <c r="G9" s="6" t="str">
        <f>IF(RefStr!J17&lt;&gt;"",TEXT(INT(VALUE(RefStr!J17)),"00"),"00")</f>
        <v>21</v>
      </c>
      <c r="I9" s="9" t="s">
        <v>1326</v>
      </c>
      <c r="J9" s="8">
        <v>0</v>
      </c>
    </row>
    <row r="10" spans="1:10" ht="12.75">
      <c r="A10" s="5">
        <v>9</v>
      </c>
      <c r="B10" s="7">
        <v>0</v>
      </c>
      <c r="C10" s="7">
        <v>0</v>
      </c>
      <c r="D10" s="7">
        <v>0</v>
      </c>
      <c r="E10" s="7">
        <v>0</v>
      </c>
      <c r="F10" s="257">
        <f t="shared" si="0"/>
        <v>0</v>
      </c>
      <c r="G10" s="6" t="str">
        <f>TEXT(INT(VALUE(RefStr!C17)),"000")</f>
        <v>133</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IVA JOVOVIĆ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MIRA DRAGOSAVAC M.</v>
      </c>
      <c r="I20" s="9" t="s">
        <v>978</v>
      </c>
      <c r="J20" s="8">
        <v>0</v>
      </c>
    </row>
    <row r="21" spans="1:10" ht="12.75">
      <c r="A21" s="5">
        <v>20</v>
      </c>
      <c r="B21" s="7">
        <v>0</v>
      </c>
      <c r="C21" s="7">
        <v>0</v>
      </c>
      <c r="D21" s="7">
        <v>0</v>
      </c>
      <c r="E21" s="7">
        <v>0</v>
      </c>
      <c r="F21" s="257">
        <f t="shared" si="0"/>
        <v>0</v>
      </c>
      <c r="G21" s="6" t="str">
        <f>IF(ISERROR(RefStr!D45),"-",UPPER(TRIM(RefStr!D45)))</f>
        <v>01/3632349</v>
      </c>
      <c r="I21" s="9" t="s">
        <v>979</v>
      </c>
      <c r="J21" s="8">
        <v>0</v>
      </c>
    </row>
    <row r="22" spans="1:10" ht="12.75">
      <c r="A22" s="5">
        <v>21</v>
      </c>
      <c r="B22" s="7">
        <v>0</v>
      </c>
      <c r="C22" s="7">
        <v>0</v>
      </c>
      <c r="D22" s="7">
        <v>0</v>
      </c>
      <c r="E22" s="7">
        <v>0</v>
      </c>
      <c r="F22" s="257">
        <f t="shared" si="0"/>
        <v>0</v>
      </c>
      <c r="G22" s="6" t="str">
        <f>IF(ISERROR(RefStr!D47),"-",UPPER(TRIM(RefStr!D47)))</f>
        <v>01/3632349</v>
      </c>
      <c r="I22" s="11" t="s">
        <v>980</v>
      </c>
      <c r="J22" s="8">
        <v>0</v>
      </c>
    </row>
    <row r="23" spans="1:10" ht="12.75">
      <c r="A23" s="5">
        <v>22</v>
      </c>
      <c r="B23" s="7">
        <v>0</v>
      </c>
      <c r="C23" s="7">
        <v>0</v>
      </c>
      <c r="D23" s="7">
        <v>0</v>
      </c>
      <c r="E23" s="7">
        <v>0</v>
      </c>
      <c r="F23" s="257">
        <f t="shared" si="0"/>
        <v>0</v>
      </c>
      <c r="G23" s="6" t="str">
        <f>IF(ISERROR(RefStr!D49),"-",LOWER(TRIM(RefStr!D49)))</f>
        <v>let@udruga-let.hr</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80621111596</v>
      </c>
      <c r="I38" s="9" t="s">
        <v>1103</v>
      </c>
      <c r="J38" s="8">
        <v>0</v>
      </c>
    </row>
    <row r="39" spans="1:10" ht="12.75">
      <c r="A39" s="5">
        <v>38</v>
      </c>
      <c r="B39" s="7">
        <v>0</v>
      </c>
      <c r="C39" s="7">
        <v>0</v>
      </c>
      <c r="D39" s="7">
        <v>0</v>
      </c>
      <c r="E39" s="7">
        <v>0</v>
      </c>
      <c r="F39" s="257">
        <f t="shared" si="1"/>
        <v>0</v>
      </c>
      <c r="G39" s="6" t="str">
        <f>TEXT(INT(VALUE(RefStr!J9)),"00000")</f>
        <v>81264</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13360312.504700001</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f>TRIM(UPPER(RefStr!C13))</f>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01692569</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UDRUGA LET</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10000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ZAGREB</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RATARSKA 7</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9499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21</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133</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IVA JOVOVIĆ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MIRA DRAGOSAVAC M.</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01/3632349</v>
      </c>
      <c r="I21" s="9" t="s">
        <v>979</v>
      </c>
      <c r="J21" s="8">
        <f t="shared" si="1"/>
        <v>0</v>
      </c>
    </row>
    <row r="22" spans="1:10" ht="12.75">
      <c r="A22" s="5">
        <f>GPRIZNPF!I40</f>
        <v>21</v>
      </c>
      <c r="B22" s="7">
        <f>ROUND(GPRIZNPF!J40,2)</f>
        <v>0</v>
      </c>
      <c r="C22" s="7">
        <f>ROUND(GPRIZNPF!K40,2)</f>
        <v>0</v>
      </c>
      <c r="D22" s="7">
        <v>0</v>
      </c>
      <c r="E22" s="7">
        <v>0</v>
      </c>
      <c r="F22" s="257">
        <f t="shared" si="0"/>
        <v>0</v>
      </c>
      <c r="G22" s="6" t="str">
        <f>IF(ISERROR(RefStr!D47),"-",UPPER(TRIM(RefStr!D47)))</f>
        <v>01/3632349</v>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let@udruga-let.hr</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80621111596</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81264</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13360312.504700001</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3" activePane="bottomLeft" state="frozen"/>
      <selection pane="topLeft" activeCell="A1" sqref="A1:B1"/>
      <selection pane="bottomLeft" activeCell="C13" sqref="C13:E1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87" t="s">
        <v>1582</v>
      </c>
      <c r="J3" s="388"/>
      <c r="N3" s="212" t="s">
        <v>2912</v>
      </c>
      <c r="O3" s="212" t="s">
        <v>2000</v>
      </c>
      <c r="P3" s="212" t="s">
        <v>2913</v>
      </c>
    </row>
    <row r="4" spans="2:16" ht="24.75" customHeight="1">
      <c r="B4" s="394" t="s">
        <v>2302</v>
      </c>
      <c r="C4" s="394"/>
      <c r="D4" s="394"/>
      <c r="E4" s="394"/>
      <c r="F4" s="394"/>
      <c r="G4" s="394"/>
      <c r="H4" s="394"/>
      <c r="I4" s="394"/>
      <c r="J4" s="225"/>
      <c r="M4" s="217" t="s">
        <v>2910</v>
      </c>
      <c r="N4" s="216">
        <f>IF(AND(J19="DA",OR(RIGHT(J15,2)="06",RIGHT(J15,2)="12")),1,0)</f>
        <v>1</v>
      </c>
      <c r="O4" s="216">
        <f>IF(AND(J19="DA",RIGHT(J15,2)="12"),1,0)</f>
        <v>1</v>
      </c>
      <c r="P4" s="216">
        <f>IF(AND(J19="NE",RIGHT(J15,2)="12"),1,0)</f>
        <v>0</v>
      </c>
    </row>
    <row r="5" spans="2:16" ht="18.75" customHeight="1">
      <c r="B5" s="226"/>
      <c r="C5" s="395" t="s">
        <v>590</v>
      </c>
      <c r="D5" s="396"/>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89" t="s">
        <v>3089</v>
      </c>
      <c r="D7" s="390"/>
      <c r="E7" s="390"/>
      <c r="F7" s="390"/>
      <c r="G7" s="390"/>
      <c r="H7" s="390"/>
      <c r="I7" s="390"/>
      <c r="J7" s="358"/>
    </row>
    <row r="8" spans="2:10" ht="4.5" customHeight="1">
      <c r="B8" s="46"/>
      <c r="C8" s="90"/>
      <c r="D8" s="109"/>
      <c r="E8" s="105"/>
      <c r="F8" s="105"/>
      <c r="G8" s="105"/>
      <c r="H8" s="105"/>
      <c r="I8" s="105"/>
      <c r="J8" s="105"/>
    </row>
    <row r="9" spans="2:10" ht="15" customHeight="1">
      <c r="B9" s="92" t="s">
        <v>2232</v>
      </c>
      <c r="C9" s="76">
        <v>10000</v>
      </c>
      <c r="D9" s="92" t="s">
        <v>2140</v>
      </c>
      <c r="E9" s="389" t="s">
        <v>3090</v>
      </c>
      <c r="F9" s="392"/>
      <c r="G9" s="392"/>
      <c r="H9" s="393"/>
      <c r="I9" s="112" t="s">
        <v>2138</v>
      </c>
      <c r="J9" s="74">
        <v>81264</v>
      </c>
    </row>
    <row r="10" spans="2:10" ht="4.5" customHeight="1">
      <c r="B10" s="46"/>
      <c r="C10" s="46"/>
      <c r="D10" s="108"/>
      <c r="E10" s="106"/>
      <c r="F10" s="106"/>
      <c r="G10" s="106"/>
      <c r="H10" s="106"/>
      <c r="I10" s="106"/>
      <c r="J10" s="107"/>
    </row>
    <row r="11" spans="2:11" ht="15" customHeight="1">
      <c r="B11" s="92" t="s">
        <v>2235</v>
      </c>
      <c r="C11" s="389" t="s">
        <v>3092</v>
      </c>
      <c r="D11" s="390"/>
      <c r="E11" s="390"/>
      <c r="F11" s="390"/>
      <c r="G11" s="390"/>
      <c r="H11" s="391"/>
      <c r="I11" s="113" t="s">
        <v>716</v>
      </c>
      <c r="J11" s="42" t="s">
        <v>3091</v>
      </c>
      <c r="K11" s="107"/>
    </row>
    <row r="12" spans="2:10" ht="4.5" customHeight="1">
      <c r="B12" s="46"/>
      <c r="C12" s="46"/>
      <c r="D12" s="108"/>
      <c r="E12" s="106"/>
      <c r="F12" s="106"/>
      <c r="G12" s="106"/>
      <c r="H12" s="106"/>
      <c r="I12" s="106"/>
      <c r="J12" s="107"/>
    </row>
    <row r="13" spans="2:10" ht="15" customHeight="1">
      <c r="B13" s="92" t="s">
        <v>1032</v>
      </c>
      <c r="C13" s="372"/>
      <c r="D13" s="373"/>
      <c r="E13" s="374"/>
      <c r="G13" s="3"/>
      <c r="H13" s="47"/>
      <c r="I13" s="112" t="s">
        <v>2139</v>
      </c>
      <c r="J13" s="73">
        <v>80621111596</v>
      </c>
    </row>
    <row r="14" spans="2:10" ht="4.5" customHeight="1">
      <c r="B14" s="46"/>
      <c r="C14" s="46"/>
      <c r="D14" s="108"/>
      <c r="E14" s="106"/>
      <c r="F14" s="106"/>
      <c r="G14" s="106"/>
      <c r="H14" s="106"/>
      <c r="I14" s="106"/>
      <c r="J14" s="107"/>
    </row>
    <row r="15" spans="2:10" ht="15" customHeight="1">
      <c r="B15" s="113" t="s">
        <v>2237</v>
      </c>
      <c r="C15" s="42" t="s">
        <v>789</v>
      </c>
      <c r="D15" s="364" t="str">
        <f>IF(C15&lt;&gt;"",LOOKUP(C15,T23:T640,U23:U640),"")</f>
        <v>Djelatnosti ostalih članskih organizacija, d. n.</v>
      </c>
      <c r="E15" s="365"/>
      <c r="F15" s="365"/>
      <c r="G15" s="365"/>
      <c r="H15" s="365"/>
      <c r="I15" s="113" t="s">
        <v>2304</v>
      </c>
      <c r="J15" s="251" t="s">
        <v>3080</v>
      </c>
    </row>
    <row r="16" spans="4:8" ht="4.5" customHeight="1">
      <c r="D16" s="3"/>
      <c r="E16" s="110"/>
      <c r="F16" s="48"/>
      <c r="G16" s="111"/>
      <c r="H16" s="3"/>
    </row>
    <row r="17" spans="2:10" ht="15" customHeight="1">
      <c r="B17" s="201" t="s">
        <v>2305</v>
      </c>
      <c r="C17" s="75">
        <v>133</v>
      </c>
      <c r="D17" s="364" t="str">
        <f>IF(C17&lt;&gt;"","Grad/općina: "&amp;LOOKUP(C17,M23:M580,N23:N580),"")</f>
        <v>Grad/općina: GRAD ZAGREB</v>
      </c>
      <c r="E17" s="365"/>
      <c r="F17" s="365"/>
      <c r="G17" s="365"/>
      <c r="H17" s="365"/>
      <c r="I17" s="112" t="s">
        <v>2236</v>
      </c>
      <c r="J17" s="202">
        <f>IF(RefStr!C17&lt;&gt;"",LOOKUP(RefStr!C17,M23:M580,O23:O580),"")</f>
        <v>21</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62" t="s">
        <v>1034</v>
      </c>
      <c r="G19" s="363"/>
      <c r="H19" s="363"/>
      <c r="I19" s="363"/>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70" t="s">
        <v>717</v>
      </c>
      <c r="H21" s="371"/>
      <c r="I21" s="368">
        <f>IF(RefStr!N1=707,PraviPod707!G27+PraviPod709!G27+PraviPod710!G27+SUM(PraviPod708!F2:F201),SUM(PraviPod708!G27)+PraviPod709!G27+PraviPod710!G27)</f>
        <v>13360312.504700001</v>
      </c>
      <c r="J21" s="369"/>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77" t="str">
        <f>BIL!C19</f>
        <v>IMOVINA (AOP 002+074)</v>
      </c>
      <c r="C24" s="378">
        <f>BIL!D19</f>
        <v>0</v>
      </c>
      <c r="D24" s="378">
        <f>BIL!E19</f>
        <v>0</v>
      </c>
      <c r="E24" s="378">
        <f>BIL!F19</f>
        <v>0</v>
      </c>
      <c r="F24" s="378">
        <f>BIL!G19</f>
        <v>0</v>
      </c>
      <c r="G24" s="378">
        <f>BIL!H19</f>
        <v>0</v>
      </c>
      <c r="H24" s="189">
        <f>BIL!I19</f>
        <v>1</v>
      </c>
      <c r="I24" s="258">
        <f>BIL!J19</f>
        <v>32618.62</v>
      </c>
      <c r="J24" s="258">
        <f>BIL!K19</f>
        <v>71619.69</v>
      </c>
      <c r="M24" s="31">
        <v>2</v>
      </c>
      <c r="N24" s="32" t="s">
        <v>458</v>
      </c>
      <c r="O24" s="33">
        <v>14</v>
      </c>
      <c r="P24" s="27"/>
      <c r="Q24" s="1" t="s">
        <v>3080</v>
      </c>
      <c r="R24" s="27" t="s">
        <v>3084</v>
      </c>
      <c r="S24" s="27"/>
      <c r="T24" s="35" t="s">
        <v>839</v>
      </c>
      <c r="U24" s="35" t="s">
        <v>222</v>
      </c>
    </row>
    <row r="25" spans="2:21" ht="18" customHeight="1">
      <c r="B25" s="352" t="str">
        <f>BIL!C164</f>
        <v>OBVEZE I VLASTITI IZVORI (AOP 146+195)</v>
      </c>
      <c r="C25" s="353">
        <f>BIL!D164</f>
        <v>0</v>
      </c>
      <c r="D25" s="353">
        <f>BIL!E164</f>
        <v>0</v>
      </c>
      <c r="E25" s="353">
        <f>BIL!F164</f>
        <v>0</v>
      </c>
      <c r="F25" s="353">
        <f>BIL!G164</f>
        <v>0</v>
      </c>
      <c r="G25" s="353">
        <f>BIL!H164</f>
        <v>0</v>
      </c>
      <c r="H25" s="190">
        <f>BIL!I164</f>
        <v>145</v>
      </c>
      <c r="I25" s="259">
        <f>BIL!J164</f>
        <v>32618.62</v>
      </c>
      <c r="J25" s="259">
        <f>BIL!K164</f>
        <v>71619.69</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97" t="str">
        <f>PRRAS!C19</f>
        <v>PRIHODI (AOP 002+005+008+011+024+040+049) </v>
      </c>
      <c r="C27" s="398">
        <f>PRRAS!D19</f>
        <v>0</v>
      </c>
      <c r="D27" s="398">
        <f>PRRAS!E19</f>
        <v>0</v>
      </c>
      <c r="E27" s="398">
        <f>PRRAS!F19</f>
        <v>0</v>
      </c>
      <c r="F27" s="398">
        <f>PRRAS!G19</f>
        <v>0</v>
      </c>
      <c r="G27" s="398">
        <f>PRRAS!H19</f>
        <v>0</v>
      </c>
      <c r="H27" s="189">
        <f>PRRAS!I19</f>
        <v>1</v>
      </c>
      <c r="I27" s="258">
        <f>PRRAS!J19</f>
        <v>74059.59</v>
      </c>
      <c r="J27" s="258">
        <f>PRRAS!K19</f>
        <v>113708.65</v>
      </c>
      <c r="M27" s="31">
        <v>5</v>
      </c>
      <c r="N27" s="32" t="s">
        <v>1389</v>
      </c>
      <c r="O27" s="33">
        <v>18</v>
      </c>
      <c r="P27" s="27"/>
      <c r="Q27" s="27"/>
      <c r="R27" s="27"/>
      <c r="S27" s="27"/>
      <c r="T27" s="35" t="s">
        <v>227</v>
      </c>
      <c r="U27" s="35" t="s">
        <v>2008</v>
      </c>
    </row>
    <row r="28" spans="2:21" ht="18" customHeight="1">
      <c r="B28" s="366" t="str">
        <f>PRRAS!C167</f>
        <v>UKUPNI RASHODI (AOP 054-146 ili 054+147)</v>
      </c>
      <c r="C28" s="367">
        <f>PRRAS!D167</f>
        <v>0</v>
      </c>
      <c r="D28" s="367">
        <f>PRRAS!E167</f>
        <v>0</v>
      </c>
      <c r="E28" s="367">
        <f>PRRAS!F167</f>
        <v>0</v>
      </c>
      <c r="F28" s="367">
        <f>PRRAS!G167</f>
        <v>0</v>
      </c>
      <c r="G28" s="367">
        <f>PRRAS!H167</f>
        <v>0</v>
      </c>
      <c r="H28" s="192">
        <f>PRRAS!I167</f>
        <v>148</v>
      </c>
      <c r="I28" s="260">
        <f>PRRAS!J167</f>
        <v>126342.39</v>
      </c>
      <c r="J28" s="260">
        <f>PRRAS!K167</f>
        <v>75905.16</v>
      </c>
      <c r="M28" s="31">
        <v>6</v>
      </c>
      <c r="N28" s="32" t="s">
        <v>1390</v>
      </c>
      <c r="O28" s="33">
        <v>18</v>
      </c>
      <c r="P28" s="27"/>
      <c r="Q28" s="27"/>
      <c r="R28" s="27"/>
      <c r="S28" s="27"/>
      <c r="T28" s="35" t="s">
        <v>2009</v>
      </c>
      <c r="U28" s="35" t="s">
        <v>2010</v>
      </c>
    </row>
    <row r="29" spans="2:21" ht="18" customHeight="1">
      <c r="B29" s="366" t="str">
        <f>PRRAS!C173</f>
        <v>Višak prihoda raspoloživ u sljedećem razdoblju (AOP 149+151-150-152-153)</v>
      </c>
      <c r="C29" s="367">
        <f>PRRAS!D173</f>
        <v>0</v>
      </c>
      <c r="D29" s="367">
        <f>PRRAS!E173</f>
        <v>0</v>
      </c>
      <c r="E29" s="367">
        <f>PRRAS!F173</f>
        <v>0</v>
      </c>
      <c r="F29" s="367">
        <f>PRRAS!G173</f>
        <v>0</v>
      </c>
      <c r="G29" s="367">
        <f>PRRAS!H173</f>
        <v>0</v>
      </c>
      <c r="H29" s="192">
        <f>PRRAS!I173</f>
        <v>154</v>
      </c>
      <c r="I29" s="260">
        <f>PRRAS!J173</f>
        <v>28552.35</v>
      </c>
      <c r="J29" s="260">
        <f>PRRAS!K173</f>
        <v>66355.84</v>
      </c>
      <c r="M29" s="31">
        <v>7</v>
      </c>
      <c r="N29" s="32" t="s">
        <v>776</v>
      </c>
      <c r="O29" s="33">
        <v>4</v>
      </c>
      <c r="P29" s="27"/>
      <c r="Q29" s="27"/>
      <c r="R29" s="27"/>
      <c r="S29" s="27"/>
      <c r="T29" s="35" t="s">
        <v>2011</v>
      </c>
      <c r="U29" s="35" t="s">
        <v>2012</v>
      </c>
    </row>
    <row r="30" spans="2:21" ht="18" customHeight="1">
      <c r="B30" s="366" t="str">
        <f>PRRAS!C174</f>
        <v>Manjak prihoda za pokriće u sljedećem razdoblju (AOP 150+152-149-151+153)</v>
      </c>
      <c r="C30" s="367">
        <f>PRRAS!D174</f>
        <v>0</v>
      </c>
      <c r="D30" s="367">
        <f>PRRAS!E174</f>
        <v>0</v>
      </c>
      <c r="E30" s="367">
        <f>PRRAS!F174</f>
        <v>0</v>
      </c>
      <c r="F30" s="367">
        <f>PRRAS!G174</f>
        <v>0</v>
      </c>
      <c r="G30" s="367">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79"/>
      <c r="C32" s="378"/>
      <c r="D32" s="378"/>
      <c r="E32" s="378"/>
      <c r="F32" s="378"/>
      <c r="G32" s="378"/>
      <c r="H32" s="189"/>
      <c r="I32" s="191"/>
      <c r="J32" s="191"/>
      <c r="M32" s="31">
        <v>10</v>
      </c>
      <c r="N32" s="32" t="s">
        <v>1112</v>
      </c>
      <c r="O32" s="33">
        <v>12</v>
      </c>
      <c r="P32" s="27"/>
      <c r="Q32" s="27"/>
      <c r="R32" s="27"/>
      <c r="S32" s="27"/>
      <c r="T32" s="35" t="s">
        <v>2017</v>
      </c>
      <c r="U32" s="35" t="s">
        <v>2018</v>
      </c>
    </row>
    <row r="33" spans="2:21" ht="18" customHeight="1" hidden="1">
      <c r="B33" s="352"/>
      <c r="C33" s="353"/>
      <c r="D33" s="353"/>
      <c r="E33" s="353"/>
      <c r="F33" s="353"/>
      <c r="G33" s="353"/>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79" t="str">
        <f>GPRIZNPF!C33</f>
        <v>PRIMICI UKUPNO  (AOP 001 do 004 + 011 do 014)</v>
      </c>
      <c r="C35" s="378">
        <f>GPRIZNPF!D33</f>
        <v>0</v>
      </c>
      <c r="D35" s="378">
        <f>GPRIZNPF!E33</f>
        <v>0</v>
      </c>
      <c r="E35" s="378">
        <f>GPRIZNPF!F33</f>
        <v>0</v>
      </c>
      <c r="F35" s="378">
        <f>GPRIZNPF!G33</f>
        <v>0</v>
      </c>
      <c r="G35" s="378">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52" t="str">
        <f>GPRIZNPF!C48</f>
        <v>VIŠAK/MANJAK PRIMITAKA TEKUĆE POSLOVNE GODINE (AOP 015-028) </v>
      </c>
      <c r="C37" s="361">
        <f>GPRIZNPF!D48</f>
        <v>0</v>
      </c>
      <c r="D37" s="361">
        <f>GPRIZNPF!E48</f>
        <v>0</v>
      </c>
      <c r="E37" s="361">
        <f>GPRIZNPF!F48</f>
        <v>0</v>
      </c>
      <c r="F37" s="361">
        <f>GPRIZNPF!G48</f>
        <v>0</v>
      </c>
      <c r="G37" s="361">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60" t="s">
        <v>2316</v>
      </c>
      <c r="C39" s="360"/>
      <c r="D39" s="357" t="s">
        <v>3093</v>
      </c>
      <c r="E39" s="375"/>
      <c r="F39" s="376"/>
      <c r="G39" s="25"/>
      <c r="H39" s="386" t="s">
        <v>2896</v>
      </c>
      <c r="I39" s="386"/>
      <c r="J39" s="386"/>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60" t="s">
        <v>2317</v>
      </c>
      <c r="C41" s="360"/>
      <c r="D41" s="380" t="s">
        <v>3097</v>
      </c>
      <c r="E41" s="381"/>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60" t="s">
        <v>1902</v>
      </c>
      <c r="C43" s="360"/>
      <c r="D43" s="357" t="s">
        <v>3094</v>
      </c>
      <c r="E43" s="375"/>
      <c r="F43" s="376"/>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60" t="s">
        <v>840</v>
      </c>
      <c r="C45" s="360"/>
      <c r="D45" s="357" t="s">
        <v>3095</v>
      </c>
      <c r="E45" s="359"/>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60" t="s">
        <v>1482</v>
      </c>
      <c r="C47" s="360"/>
      <c r="D47" s="357" t="s">
        <v>3095</v>
      </c>
      <c r="E47" s="358"/>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60" t="s">
        <v>1904</v>
      </c>
      <c r="C49" s="384"/>
      <c r="D49" s="357" t="s">
        <v>3096</v>
      </c>
      <c r="E49" s="375"/>
      <c r="F49" s="376"/>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85" t="s">
        <v>674</v>
      </c>
      <c r="J51" s="385"/>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82" t="str">
        <f>"Verzija Excel datoteke: "&amp;MID(PraviPod707!G30,1,1)&amp;"."&amp;MID(PraviPod707!G30,2,1)&amp;"."&amp;MID(PraviPod707!G30,3,1)&amp;"."</f>
        <v>Verzija Excel datoteke: 6.0.6.</v>
      </c>
      <c r="C53" s="383"/>
      <c r="H53" s="20"/>
      <c r="I53" s="385" t="s">
        <v>675</v>
      </c>
      <c r="J53" s="385"/>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64" activePane="bottomLeft" state="frozen"/>
      <selection pane="topLeft" activeCell="A1" sqref="A1:B1"/>
      <selection pane="bottomLeft" activeCell="J179" sqref="J17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51"/>
      <c r="L2" s="451"/>
    </row>
    <row r="3" spans="2:12" ht="30" customHeight="1" thickBot="1">
      <c r="B3" s="457" t="str">
        <f>IF(RIGHT(K13,2)="06","Vrsta posla: 707","Vrsta posla 708")</f>
        <v>Vrsta posla 708</v>
      </c>
      <c r="C3" s="458"/>
      <c r="D3" s="128"/>
      <c r="E3" s="128"/>
      <c r="F3" s="104"/>
      <c r="G3" s="104"/>
      <c r="H3" s="104"/>
      <c r="I3" s="104"/>
      <c r="J3" s="104"/>
      <c r="K3" s="459" t="s">
        <v>2914</v>
      </c>
      <c r="L3" s="460"/>
    </row>
    <row r="4" spans="2:12" ht="30" customHeight="1">
      <c r="B4" s="452" t="s">
        <v>2624</v>
      </c>
      <c r="C4" s="453"/>
      <c r="D4" s="453"/>
      <c r="E4" s="453"/>
      <c r="F4" s="453"/>
      <c r="G4" s="453"/>
      <c r="H4" s="453"/>
      <c r="I4" s="453"/>
      <c r="J4" s="453"/>
      <c r="K4" s="453"/>
      <c r="L4" s="453"/>
    </row>
    <row r="5" spans="2:12" ht="9" customHeight="1">
      <c r="B5" s="454"/>
      <c r="C5" s="455"/>
      <c r="D5" s="455"/>
      <c r="E5" s="455"/>
      <c r="F5" s="455"/>
      <c r="G5" s="455"/>
      <c r="H5" s="455"/>
      <c r="I5" s="455"/>
      <c r="J5" s="455"/>
      <c r="K5" s="455"/>
      <c r="L5" s="455"/>
    </row>
    <row r="6" spans="2:16" s="30" customFormat="1" ht="19.5" customHeight="1">
      <c r="B6" s="456" t="str">
        <f>IF(OR(RefStr!J15="",RefStr!J19=""),P7,IF(RefStr!N4=1,"za razdoblje "&amp;TEXT(RefStr!E5,"dd.MM.YYYY.")&amp;" do "&amp;TEXT(RefStr!G5,"dd.MM.YYYY."),P6))</f>
        <v>za razdoblje 01.01.2023. do 31.12.2023.</v>
      </c>
      <c r="C6" s="455"/>
      <c r="D6" s="455"/>
      <c r="E6" s="455"/>
      <c r="F6" s="455"/>
      <c r="G6" s="455"/>
      <c r="H6" s="455"/>
      <c r="I6" s="455"/>
      <c r="J6" s="455"/>
      <c r="K6" s="455"/>
      <c r="L6" s="455"/>
      <c r="P6" s="241" t="s">
        <v>2118</v>
      </c>
    </row>
    <row r="7" spans="2:16" s="114" customFormat="1" ht="18" customHeight="1" thickBot="1">
      <c r="B7" s="406" t="s">
        <v>1143</v>
      </c>
      <c r="C7" s="425"/>
      <c r="D7" s="426" t="str">
        <f>IF(RefStr!N4=1,IF(RefStr!C7&lt;&gt;"",RefStr!C7,""),"")</f>
        <v>UDRUGA LET</v>
      </c>
      <c r="E7" s="427"/>
      <c r="F7" s="427"/>
      <c r="G7" s="427"/>
      <c r="H7" s="427"/>
      <c r="I7" s="427"/>
      <c r="J7" s="427"/>
      <c r="K7" s="427"/>
      <c r="L7" s="427"/>
      <c r="P7" s="27" t="s">
        <v>2862</v>
      </c>
    </row>
    <row r="8" spans="2:12" s="114" customFormat="1" ht="18" customHeight="1" thickBot="1">
      <c r="B8" s="406" t="s">
        <v>2232</v>
      </c>
      <c r="C8" s="406"/>
      <c r="D8" s="208">
        <f>IF(RefStr!N4=1,IF(RefStr!C9&lt;&gt;"",RefStr!C9,""),"")</f>
        <v>10000</v>
      </c>
      <c r="E8" s="117"/>
      <c r="F8" s="124" t="s">
        <v>2140</v>
      </c>
      <c r="G8" s="403" t="str">
        <f>IF(RefStr!N4=1,IF(RefStr!E9&lt;&gt;"",RefStr!E9,""),"")</f>
        <v>ZAGREB</v>
      </c>
      <c r="H8" s="428"/>
      <c r="I8" s="428"/>
      <c r="J8" s="428"/>
      <c r="K8" s="428"/>
      <c r="L8" s="428"/>
    </row>
    <row r="9" spans="2:12" s="114" customFormat="1" ht="18" customHeight="1" thickBot="1">
      <c r="B9" s="406" t="s">
        <v>2235</v>
      </c>
      <c r="C9" s="406"/>
      <c r="D9" s="403" t="str">
        <f>IF(RefStr!N4=1,IF(RefStr!C11&lt;&gt;"",RefStr!C11,""),"")</f>
        <v>RATARSKA 7</v>
      </c>
      <c r="E9" s="403"/>
      <c r="F9" s="403"/>
      <c r="G9" s="403"/>
      <c r="H9" s="403"/>
      <c r="I9" s="403"/>
      <c r="J9" s="403"/>
      <c r="K9" s="403"/>
      <c r="L9" s="403"/>
    </row>
    <row r="10" spans="2:12" s="114" customFormat="1" ht="18" customHeight="1" thickBot="1">
      <c r="B10" s="406" t="s">
        <v>1032</v>
      </c>
      <c r="C10" s="406" t="s">
        <v>2303</v>
      </c>
      <c r="D10" s="429">
        <f>IF(RefStr!N4=1,IF(RefStr!C13&lt;&gt;"",RefStr!C13,""),"")</f>
      </c>
      <c r="E10" s="430"/>
      <c r="F10" s="430"/>
      <c r="G10" s="118"/>
      <c r="H10" s="118"/>
      <c r="I10" s="132"/>
      <c r="J10" s="124" t="s">
        <v>2138</v>
      </c>
      <c r="K10" s="204">
        <f>IF(RefStr!N4=1,IF(RefStr!J9&lt;&gt;"",RefStr!J9,""),"")</f>
        <v>81264</v>
      </c>
      <c r="L10" s="132"/>
    </row>
    <row r="11" spans="2:12" s="114" customFormat="1" ht="18" customHeight="1" thickBot="1">
      <c r="B11" s="404" t="s">
        <v>2237</v>
      </c>
      <c r="C11" s="405"/>
      <c r="D11" s="116" t="str">
        <f>IF(RefStr!N4=1,IF(RefStr!C15&lt;&gt;"",RefStr!C15,""),"")</f>
        <v>9499</v>
      </c>
      <c r="E11" s="209" t="str">
        <f>IF(RefStr!D15&lt;&gt;"",RefStr!D15,"")</f>
        <v>Djelatnosti ostalih članskih organizacija, d. n.</v>
      </c>
      <c r="F11" s="119"/>
      <c r="G11" s="132"/>
      <c r="H11" s="132"/>
      <c r="I11" s="133"/>
      <c r="J11" s="186" t="s">
        <v>716</v>
      </c>
      <c r="K11" s="203" t="str">
        <f>IF(RefStr!N4=1,IF(RefStr!J11&lt;&gt;"",RefStr!J11,""),"")</f>
        <v>01692569</v>
      </c>
      <c r="L11" s="132"/>
    </row>
    <row r="12" spans="2:12" s="114" customFormat="1" ht="18" customHeight="1" thickBot="1">
      <c r="B12" s="406" t="s">
        <v>2305</v>
      </c>
      <c r="C12" s="405"/>
      <c r="D12" s="120">
        <f>IF(RefStr!N4=1,IF(RefStr!C17&lt;&gt;"",RefStr!C17,""),"")</f>
        <v>133</v>
      </c>
      <c r="E12" s="210" t="str">
        <f>IF(RefStr!D17&lt;&gt;"",RefStr!D17,"")</f>
        <v>Grad/općina: GRAD ZAGREB</v>
      </c>
      <c r="F12" s="121"/>
      <c r="G12" s="118"/>
      <c r="H12" s="118"/>
      <c r="I12" s="122"/>
      <c r="J12" s="186" t="s">
        <v>2139</v>
      </c>
      <c r="K12" s="410">
        <f>IF(RefStr!N4=1,IF(RefStr!J13&lt;&gt;"",RefStr!J13,""),"")</f>
        <v>80621111596</v>
      </c>
      <c r="L12" s="411"/>
    </row>
    <row r="13" spans="2:12" s="114" customFormat="1" ht="18" customHeight="1" thickBot="1">
      <c r="B13" s="132"/>
      <c r="C13" s="123"/>
      <c r="D13" s="239"/>
      <c r="E13" s="240"/>
      <c r="F13" s="240"/>
      <c r="G13" s="240"/>
      <c r="H13" s="240"/>
      <c r="I13" s="404" t="s">
        <v>2304</v>
      </c>
      <c r="J13" s="405"/>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21</v>
      </c>
      <c r="L14" s="125"/>
    </row>
    <row r="15" spans="2:12" ht="15" customHeight="1">
      <c r="B15" s="470" t="str">
        <f>"Verzija Excel datoteke: "&amp;MID(PraviPod707!G30,1,1)&amp;"."&amp;MID(PraviPod707!G30,2,1)&amp;"."&amp;MID(PraviPod707!G30,3,1)&amp;"."</f>
        <v>Verzija Excel datoteke: 6.0.6.</v>
      </c>
      <c r="C15" s="471"/>
      <c r="D15" s="471"/>
      <c r="E15" s="103"/>
      <c r="F15" s="37"/>
      <c r="G15" s="40"/>
      <c r="H15" s="40"/>
      <c r="I15" s="41"/>
      <c r="J15" s="41"/>
      <c r="K15" s="38"/>
      <c r="L15" s="275" t="s">
        <v>1475</v>
      </c>
    </row>
    <row r="16" spans="2:12" ht="45">
      <c r="B16" s="86" t="s">
        <v>1495</v>
      </c>
      <c r="C16" s="464" t="s">
        <v>2234</v>
      </c>
      <c r="D16" s="464"/>
      <c r="E16" s="464"/>
      <c r="F16" s="464"/>
      <c r="G16" s="465"/>
      <c r="H16" s="465"/>
      <c r="I16" s="82" t="s">
        <v>2233</v>
      </c>
      <c r="J16" s="83" t="s">
        <v>2240</v>
      </c>
      <c r="K16" s="84" t="s">
        <v>1632</v>
      </c>
      <c r="L16" s="85" t="s">
        <v>1734</v>
      </c>
    </row>
    <row r="17" spans="2:12" ht="12.75">
      <c r="B17" s="71">
        <v>1</v>
      </c>
      <c r="C17" s="475">
        <v>2</v>
      </c>
      <c r="D17" s="476"/>
      <c r="E17" s="476"/>
      <c r="F17" s="476"/>
      <c r="G17" s="476"/>
      <c r="H17" s="476"/>
      <c r="I17" s="72">
        <v>3</v>
      </c>
      <c r="J17" s="72">
        <v>4</v>
      </c>
      <c r="K17" s="71">
        <v>5</v>
      </c>
      <c r="L17" s="71">
        <v>6</v>
      </c>
    </row>
    <row r="18" spans="2:12" ht="12.75">
      <c r="B18" s="461" t="s">
        <v>1312</v>
      </c>
      <c r="C18" s="462"/>
      <c r="D18" s="462"/>
      <c r="E18" s="462"/>
      <c r="F18" s="462"/>
      <c r="G18" s="462"/>
      <c r="H18" s="462"/>
      <c r="I18" s="462"/>
      <c r="J18" s="462"/>
      <c r="K18" s="462"/>
      <c r="L18" s="463"/>
    </row>
    <row r="19" spans="2:12" ht="12.75" customHeight="1">
      <c r="B19" s="252">
        <v>3</v>
      </c>
      <c r="C19" s="472" t="s">
        <v>239</v>
      </c>
      <c r="D19" s="473"/>
      <c r="E19" s="473"/>
      <c r="F19" s="473"/>
      <c r="G19" s="473"/>
      <c r="H19" s="474"/>
      <c r="I19" s="136">
        <v>1</v>
      </c>
      <c r="J19" s="261">
        <f>ROUND(J20+J23+J26+J29+J42+J58+J67,2)</f>
        <v>74059.59</v>
      </c>
      <c r="K19" s="261">
        <f>ROUND(K20+K23+K26+K29+K42+K58+K67,2)</f>
        <v>113708.65</v>
      </c>
      <c r="L19" s="77">
        <f>IF(J19&gt;0,IF(K19/J19&gt;=100,"&gt;&gt;100",K19/J19*100),"-")</f>
        <v>153.53669929849733</v>
      </c>
    </row>
    <row r="20" spans="2:12" ht="12.75">
      <c r="B20" s="253">
        <v>31</v>
      </c>
      <c r="C20" s="413" t="s">
        <v>1636</v>
      </c>
      <c r="D20" s="413"/>
      <c r="E20" s="413"/>
      <c r="F20" s="413"/>
      <c r="G20" s="413"/>
      <c r="H20" s="413"/>
      <c r="I20" s="138">
        <v>2</v>
      </c>
      <c r="J20" s="262">
        <f>ROUND(J21+J22,2)</f>
        <v>0</v>
      </c>
      <c r="K20" s="262">
        <f>ROUND(K21+K22,2)</f>
        <v>0</v>
      </c>
      <c r="L20" s="78" t="str">
        <f>IF(J20&gt;0,IF(K20/J20&gt;=100,"&gt;&gt;100",K20/J20*100),"-")</f>
        <v>-</v>
      </c>
    </row>
    <row r="21" spans="2:12" ht="12.75">
      <c r="B21" s="253">
        <v>3111</v>
      </c>
      <c r="C21" s="413" t="s">
        <v>1022</v>
      </c>
      <c r="D21" s="413"/>
      <c r="E21" s="413"/>
      <c r="F21" s="413"/>
      <c r="G21" s="413"/>
      <c r="H21" s="413"/>
      <c r="I21" s="138">
        <v>3</v>
      </c>
      <c r="J21" s="263"/>
      <c r="K21" s="263"/>
      <c r="L21" s="78" t="str">
        <f aca="true" t="shared" si="0" ref="L21:L69">IF(J21&gt;0,IF(K21/J21&gt;=100,"&gt;&gt;100",K21/J21*100),"-")</f>
        <v>-</v>
      </c>
    </row>
    <row r="22" spans="2:12" ht="12.75">
      <c r="B22" s="253">
        <v>3112</v>
      </c>
      <c r="C22" s="413" t="s">
        <v>1023</v>
      </c>
      <c r="D22" s="413"/>
      <c r="E22" s="413"/>
      <c r="F22" s="413"/>
      <c r="G22" s="413"/>
      <c r="H22" s="413"/>
      <c r="I22" s="138">
        <v>4</v>
      </c>
      <c r="J22" s="263"/>
      <c r="K22" s="263"/>
      <c r="L22" s="78" t="str">
        <f t="shared" si="0"/>
        <v>-</v>
      </c>
    </row>
    <row r="23" spans="2:12" ht="12.75">
      <c r="B23" s="253">
        <v>32</v>
      </c>
      <c r="C23" s="413" t="s">
        <v>1637</v>
      </c>
      <c r="D23" s="413"/>
      <c r="E23" s="413"/>
      <c r="F23" s="413"/>
      <c r="G23" s="413"/>
      <c r="H23" s="413"/>
      <c r="I23" s="138">
        <v>5</v>
      </c>
      <c r="J23" s="262">
        <f>ROUND(J24+J25,2)</f>
        <v>0</v>
      </c>
      <c r="K23" s="262">
        <f>ROUND(K24+K25,2)</f>
        <v>0</v>
      </c>
      <c r="L23" s="78" t="str">
        <f t="shared" si="0"/>
        <v>-</v>
      </c>
    </row>
    <row r="24" spans="2:12" ht="12.75">
      <c r="B24" s="253">
        <v>3211</v>
      </c>
      <c r="C24" s="413" t="s">
        <v>2817</v>
      </c>
      <c r="D24" s="413"/>
      <c r="E24" s="413"/>
      <c r="F24" s="413"/>
      <c r="G24" s="413"/>
      <c r="H24" s="413"/>
      <c r="I24" s="138">
        <v>6</v>
      </c>
      <c r="J24" s="263"/>
      <c r="K24" s="263"/>
      <c r="L24" s="78" t="str">
        <f t="shared" si="0"/>
        <v>-</v>
      </c>
    </row>
    <row r="25" spans="2:12" ht="12.75">
      <c r="B25" s="253">
        <v>3212</v>
      </c>
      <c r="C25" s="413" t="s">
        <v>1024</v>
      </c>
      <c r="D25" s="413"/>
      <c r="E25" s="413"/>
      <c r="F25" s="413"/>
      <c r="G25" s="413"/>
      <c r="H25" s="413"/>
      <c r="I25" s="138">
        <v>7</v>
      </c>
      <c r="J25" s="263"/>
      <c r="K25" s="263"/>
      <c r="L25" s="78" t="str">
        <f t="shared" si="0"/>
        <v>-</v>
      </c>
    </row>
    <row r="26" spans="2:12" ht="12.75">
      <c r="B26" s="253">
        <v>33</v>
      </c>
      <c r="C26" s="413" t="s">
        <v>1638</v>
      </c>
      <c r="D26" s="413"/>
      <c r="E26" s="413"/>
      <c r="F26" s="413"/>
      <c r="G26" s="413"/>
      <c r="H26" s="413"/>
      <c r="I26" s="138">
        <v>8</v>
      </c>
      <c r="J26" s="262">
        <f>ROUND(J27+J28,2)</f>
        <v>0</v>
      </c>
      <c r="K26" s="262">
        <f>ROUND(K27+K28,2)</f>
        <v>0</v>
      </c>
      <c r="L26" s="78" t="str">
        <f t="shared" si="0"/>
        <v>-</v>
      </c>
    </row>
    <row r="27" spans="2:12" ht="12.75">
      <c r="B27" s="253">
        <v>3311</v>
      </c>
      <c r="C27" s="413" t="s">
        <v>1025</v>
      </c>
      <c r="D27" s="413"/>
      <c r="E27" s="413"/>
      <c r="F27" s="413"/>
      <c r="G27" s="413"/>
      <c r="H27" s="413"/>
      <c r="I27" s="138">
        <v>9</v>
      </c>
      <c r="J27" s="263"/>
      <c r="K27" s="263"/>
      <c r="L27" s="78" t="str">
        <f t="shared" si="0"/>
        <v>-</v>
      </c>
    </row>
    <row r="28" spans="2:12" ht="12.75">
      <c r="B28" s="253">
        <v>3312</v>
      </c>
      <c r="C28" s="413" t="s">
        <v>1026</v>
      </c>
      <c r="D28" s="413"/>
      <c r="E28" s="413"/>
      <c r="F28" s="413"/>
      <c r="G28" s="413"/>
      <c r="H28" s="413"/>
      <c r="I28" s="138">
        <v>10</v>
      </c>
      <c r="J28" s="263"/>
      <c r="K28" s="263"/>
      <c r="L28" s="78" t="str">
        <f t="shared" si="0"/>
        <v>-</v>
      </c>
    </row>
    <row r="29" spans="2:12" ht="12.75">
      <c r="B29" s="253">
        <v>34</v>
      </c>
      <c r="C29" s="413" t="s">
        <v>1639</v>
      </c>
      <c r="D29" s="413"/>
      <c r="E29" s="413"/>
      <c r="F29" s="413"/>
      <c r="G29" s="413"/>
      <c r="H29" s="413"/>
      <c r="I29" s="138">
        <v>11</v>
      </c>
      <c r="J29" s="262">
        <f>ROUND(J30+J39,2)</f>
        <v>0.26</v>
      </c>
      <c r="K29" s="262">
        <f>ROUND(K30+K39,2)</f>
        <v>6.84</v>
      </c>
      <c r="L29" s="78">
        <f t="shared" si="0"/>
        <v>2630.7692307692305</v>
      </c>
    </row>
    <row r="30" spans="2:12" ht="12.75">
      <c r="B30" s="253">
        <v>341</v>
      </c>
      <c r="C30" s="413" t="s">
        <v>1640</v>
      </c>
      <c r="D30" s="413"/>
      <c r="E30" s="413"/>
      <c r="F30" s="413"/>
      <c r="G30" s="413"/>
      <c r="H30" s="413"/>
      <c r="I30" s="138">
        <v>12</v>
      </c>
      <c r="J30" s="262">
        <f>ROUND(SUM(J31:J38),2)</f>
        <v>0.26</v>
      </c>
      <c r="K30" s="262">
        <f>ROUND(SUM(K31:K38),2)</f>
        <v>6.84</v>
      </c>
      <c r="L30" s="78">
        <f t="shared" si="0"/>
        <v>2630.7692307692305</v>
      </c>
    </row>
    <row r="31" spans="2:12" ht="12.75">
      <c r="B31" s="253">
        <v>3411</v>
      </c>
      <c r="C31" s="413" t="s">
        <v>1027</v>
      </c>
      <c r="D31" s="413"/>
      <c r="E31" s="413"/>
      <c r="F31" s="413"/>
      <c r="G31" s="413"/>
      <c r="H31" s="413"/>
      <c r="I31" s="138">
        <v>13</v>
      </c>
      <c r="J31" s="263">
        <v>0</v>
      </c>
      <c r="K31" s="263"/>
      <c r="L31" s="78" t="str">
        <f t="shared" si="0"/>
        <v>-</v>
      </c>
    </row>
    <row r="32" spans="2:12" ht="12.75">
      <c r="B32" s="253">
        <v>3412</v>
      </c>
      <c r="C32" s="413" t="s">
        <v>1028</v>
      </c>
      <c r="D32" s="413"/>
      <c r="E32" s="413"/>
      <c r="F32" s="413"/>
      <c r="G32" s="413"/>
      <c r="H32" s="413"/>
      <c r="I32" s="138">
        <v>14</v>
      </c>
      <c r="J32" s="263"/>
      <c r="K32" s="263"/>
      <c r="L32" s="78" t="str">
        <f t="shared" si="0"/>
        <v>-</v>
      </c>
    </row>
    <row r="33" spans="2:12" ht="12.75">
      <c r="B33" s="253">
        <v>3413</v>
      </c>
      <c r="C33" s="413" t="s">
        <v>1029</v>
      </c>
      <c r="D33" s="413"/>
      <c r="E33" s="413"/>
      <c r="F33" s="413"/>
      <c r="G33" s="413"/>
      <c r="H33" s="413"/>
      <c r="I33" s="138">
        <v>15</v>
      </c>
      <c r="J33" s="263">
        <v>0.26</v>
      </c>
      <c r="K33" s="263">
        <v>6.84</v>
      </c>
      <c r="L33" s="78">
        <f t="shared" si="0"/>
        <v>2630.7692307692305</v>
      </c>
    </row>
    <row r="34" spans="2:12" ht="12.75">
      <c r="B34" s="253">
        <v>3414</v>
      </c>
      <c r="C34" s="413" t="s">
        <v>1030</v>
      </c>
      <c r="D34" s="413"/>
      <c r="E34" s="413"/>
      <c r="F34" s="413"/>
      <c r="G34" s="413"/>
      <c r="H34" s="413"/>
      <c r="I34" s="138">
        <v>16</v>
      </c>
      <c r="J34" s="263"/>
      <c r="K34" s="263"/>
      <c r="L34" s="78" t="str">
        <f t="shared" si="0"/>
        <v>-</v>
      </c>
    </row>
    <row r="35" spans="2:12" ht="12.75">
      <c r="B35" s="253">
        <v>3415</v>
      </c>
      <c r="C35" s="413" t="s">
        <v>1031</v>
      </c>
      <c r="D35" s="413"/>
      <c r="E35" s="413"/>
      <c r="F35" s="413"/>
      <c r="G35" s="413"/>
      <c r="H35" s="413"/>
      <c r="I35" s="138">
        <v>17</v>
      </c>
      <c r="J35" s="263"/>
      <c r="K35" s="263"/>
      <c r="L35" s="78" t="str">
        <f t="shared" si="0"/>
        <v>-</v>
      </c>
    </row>
    <row r="36" spans="2:12" ht="12.75">
      <c r="B36" s="253">
        <v>3416</v>
      </c>
      <c r="C36" s="413" t="s">
        <v>1086</v>
      </c>
      <c r="D36" s="413"/>
      <c r="E36" s="413"/>
      <c r="F36" s="413"/>
      <c r="G36" s="413"/>
      <c r="H36" s="413"/>
      <c r="I36" s="138">
        <v>18</v>
      </c>
      <c r="J36" s="263"/>
      <c r="K36" s="263"/>
      <c r="L36" s="78" t="str">
        <f t="shared" si="0"/>
        <v>-</v>
      </c>
    </row>
    <row r="37" spans="2:12" ht="12.75">
      <c r="B37" s="253">
        <v>3417</v>
      </c>
      <c r="C37" s="469" t="s">
        <v>1087</v>
      </c>
      <c r="D37" s="469"/>
      <c r="E37" s="469"/>
      <c r="F37" s="469"/>
      <c r="G37" s="469"/>
      <c r="H37" s="469"/>
      <c r="I37" s="138">
        <v>19</v>
      </c>
      <c r="J37" s="263"/>
      <c r="K37" s="263"/>
      <c r="L37" s="78" t="str">
        <f t="shared" si="0"/>
        <v>-</v>
      </c>
    </row>
    <row r="38" spans="2:12" ht="12.75">
      <c r="B38" s="253">
        <v>3418</v>
      </c>
      <c r="C38" s="413" t="s">
        <v>1088</v>
      </c>
      <c r="D38" s="413"/>
      <c r="E38" s="413"/>
      <c r="F38" s="413"/>
      <c r="G38" s="413"/>
      <c r="H38" s="413"/>
      <c r="I38" s="138">
        <v>20</v>
      </c>
      <c r="J38" s="263"/>
      <c r="K38" s="263"/>
      <c r="L38" s="78" t="str">
        <f t="shared" si="0"/>
        <v>-</v>
      </c>
    </row>
    <row r="39" spans="2:12" ht="12.75">
      <c r="B39" s="253">
        <v>342</v>
      </c>
      <c r="C39" s="413" t="s">
        <v>2109</v>
      </c>
      <c r="D39" s="413"/>
      <c r="E39" s="413"/>
      <c r="F39" s="413"/>
      <c r="G39" s="413"/>
      <c r="H39" s="413"/>
      <c r="I39" s="138">
        <v>21</v>
      </c>
      <c r="J39" s="262">
        <f>ROUND(J40+J41,2)</f>
        <v>0</v>
      </c>
      <c r="K39" s="262">
        <f>ROUND(K40+K41,2)</f>
        <v>0</v>
      </c>
      <c r="L39" s="78" t="str">
        <f t="shared" si="0"/>
        <v>-</v>
      </c>
    </row>
    <row r="40" spans="2:12" ht="12.75">
      <c r="B40" s="253">
        <v>3421</v>
      </c>
      <c r="C40" s="413" t="s">
        <v>1089</v>
      </c>
      <c r="D40" s="413"/>
      <c r="E40" s="413"/>
      <c r="F40" s="413"/>
      <c r="G40" s="413"/>
      <c r="H40" s="413"/>
      <c r="I40" s="138">
        <v>22</v>
      </c>
      <c r="J40" s="263"/>
      <c r="K40" s="263"/>
      <c r="L40" s="78" t="str">
        <f t="shared" si="0"/>
        <v>-</v>
      </c>
    </row>
    <row r="41" spans="2:12" ht="12.75">
      <c r="B41" s="253">
        <v>3422</v>
      </c>
      <c r="C41" s="413" t="s">
        <v>1090</v>
      </c>
      <c r="D41" s="413"/>
      <c r="E41" s="413"/>
      <c r="F41" s="413"/>
      <c r="G41" s="413"/>
      <c r="H41" s="413"/>
      <c r="I41" s="138">
        <v>23</v>
      </c>
      <c r="J41" s="263"/>
      <c r="K41" s="263"/>
      <c r="L41" s="78" t="str">
        <f t="shared" si="0"/>
        <v>-</v>
      </c>
    </row>
    <row r="42" spans="2:12" ht="12.75" customHeight="1">
      <c r="B42" s="253">
        <v>35</v>
      </c>
      <c r="C42" s="407" t="s">
        <v>240</v>
      </c>
      <c r="D42" s="408"/>
      <c r="E42" s="408"/>
      <c r="F42" s="408"/>
      <c r="G42" s="408"/>
      <c r="H42" s="409"/>
      <c r="I42" s="138">
        <v>24</v>
      </c>
      <c r="J42" s="262">
        <f>ROUND(J43+J48+J51+J54+J55,2)</f>
        <v>74059.33</v>
      </c>
      <c r="K42" s="262">
        <f>ROUND(K43+K48+K51+K54+K55,2)</f>
        <v>113701.81</v>
      </c>
      <c r="L42" s="78">
        <f t="shared" si="0"/>
        <v>153.52800248125388</v>
      </c>
    </row>
    <row r="43" spans="2:12" ht="12.75" customHeight="1">
      <c r="B43" s="253">
        <v>351</v>
      </c>
      <c r="C43" s="399" t="s">
        <v>232</v>
      </c>
      <c r="D43" s="399"/>
      <c r="E43" s="399"/>
      <c r="F43" s="399"/>
      <c r="G43" s="399"/>
      <c r="H43" s="399"/>
      <c r="I43" s="138">
        <v>25</v>
      </c>
      <c r="J43" s="262">
        <f>ROUND(SUM(J44:J47),2)</f>
        <v>74059.33</v>
      </c>
      <c r="K43" s="262">
        <f>ROUND(SUM(K44:K47),2)</f>
        <v>113589.12</v>
      </c>
      <c r="L43" s="78">
        <f t="shared" si="0"/>
        <v>153.37584069421098</v>
      </c>
    </row>
    <row r="44" spans="2:12" ht="12.75">
      <c r="B44" s="253">
        <v>3511</v>
      </c>
      <c r="C44" s="413" t="s">
        <v>1091</v>
      </c>
      <c r="D44" s="413"/>
      <c r="E44" s="413"/>
      <c r="F44" s="413"/>
      <c r="G44" s="413"/>
      <c r="H44" s="413"/>
      <c r="I44" s="138">
        <v>26</v>
      </c>
      <c r="J44" s="263">
        <v>67423.19</v>
      </c>
      <c r="K44" s="263">
        <v>106289.12</v>
      </c>
      <c r="L44" s="78">
        <f t="shared" si="0"/>
        <v>157.6447510122259</v>
      </c>
    </row>
    <row r="45" spans="2:12" ht="12.75">
      <c r="B45" s="253">
        <v>3512</v>
      </c>
      <c r="C45" s="413" t="s">
        <v>1092</v>
      </c>
      <c r="D45" s="413"/>
      <c r="E45" s="413"/>
      <c r="F45" s="413"/>
      <c r="G45" s="413"/>
      <c r="H45" s="413"/>
      <c r="I45" s="138">
        <v>27</v>
      </c>
      <c r="J45" s="263">
        <v>6636.14</v>
      </c>
      <c r="K45" s="263">
        <v>7300</v>
      </c>
      <c r="L45" s="78">
        <f t="shared" si="0"/>
        <v>110.00370697423503</v>
      </c>
    </row>
    <row r="46" spans="2:12" ht="12.75" customHeight="1">
      <c r="B46" s="253">
        <v>3513</v>
      </c>
      <c r="C46" s="399" t="s">
        <v>228</v>
      </c>
      <c r="D46" s="399"/>
      <c r="E46" s="399"/>
      <c r="F46" s="399"/>
      <c r="G46" s="399"/>
      <c r="H46" s="399"/>
      <c r="I46" s="138">
        <v>28</v>
      </c>
      <c r="J46" s="263"/>
      <c r="K46" s="263"/>
      <c r="L46" s="78" t="str">
        <f>IF(J46&gt;0,IF(K46/J46&gt;=100,"&gt;&gt;100",K46/J46*100),"-")</f>
        <v>-</v>
      </c>
    </row>
    <row r="47" spans="2:12" ht="24.75" customHeight="1">
      <c r="B47" s="253">
        <v>3514</v>
      </c>
      <c r="C47" s="399" t="s">
        <v>229</v>
      </c>
      <c r="D47" s="399"/>
      <c r="E47" s="399"/>
      <c r="F47" s="399"/>
      <c r="G47" s="399"/>
      <c r="H47" s="399"/>
      <c r="I47" s="138">
        <v>29</v>
      </c>
      <c r="J47" s="263"/>
      <c r="K47" s="263"/>
      <c r="L47" s="78" t="str">
        <f>IF(J47&gt;0,IF(K47/J47&gt;=100,"&gt;&gt;100",K47/J47*100),"-")</f>
        <v>-</v>
      </c>
    </row>
    <row r="48" spans="2:12" ht="12.75" customHeight="1">
      <c r="B48" s="253">
        <v>352</v>
      </c>
      <c r="C48" s="477" t="s">
        <v>231</v>
      </c>
      <c r="D48" s="477"/>
      <c r="E48" s="477"/>
      <c r="F48" s="477"/>
      <c r="G48" s="477"/>
      <c r="H48" s="477"/>
      <c r="I48" s="138">
        <v>30</v>
      </c>
      <c r="J48" s="262">
        <f>ROUND(J49+J50,2)</f>
        <v>0</v>
      </c>
      <c r="K48" s="262">
        <f>ROUND(K49+K50,2)</f>
        <v>0</v>
      </c>
      <c r="L48" s="78" t="str">
        <f t="shared" si="0"/>
        <v>-</v>
      </c>
    </row>
    <row r="49" spans="2:12" ht="12.75">
      <c r="B49" s="253">
        <v>3521</v>
      </c>
      <c r="C49" s="399" t="s">
        <v>2728</v>
      </c>
      <c r="D49" s="399"/>
      <c r="E49" s="399"/>
      <c r="F49" s="399"/>
      <c r="G49" s="399"/>
      <c r="H49" s="399"/>
      <c r="I49" s="138">
        <v>31</v>
      </c>
      <c r="J49" s="263"/>
      <c r="K49" s="263"/>
      <c r="L49" s="78" t="str">
        <f>IF(J49&gt;0,IF(K49/J49&gt;=100,"&gt;&gt;100",K49/J49*100),"-")</f>
        <v>-</v>
      </c>
    </row>
    <row r="50" spans="2:12" ht="12.75">
      <c r="B50" s="253">
        <v>3522</v>
      </c>
      <c r="C50" s="399" t="s">
        <v>230</v>
      </c>
      <c r="D50" s="399"/>
      <c r="E50" s="399"/>
      <c r="F50" s="399"/>
      <c r="G50" s="399"/>
      <c r="H50" s="399"/>
      <c r="I50" s="138">
        <v>32</v>
      </c>
      <c r="J50" s="263"/>
      <c r="K50" s="263"/>
      <c r="L50" s="78" t="str">
        <f>IF(J50&gt;0,IF(K50/J50&gt;=100,"&gt;&gt;100",K50/J50*100),"-")</f>
        <v>-</v>
      </c>
    </row>
    <row r="51" spans="2:12" ht="12.75" customHeight="1">
      <c r="B51" s="253">
        <v>353</v>
      </c>
      <c r="C51" s="399" t="s">
        <v>233</v>
      </c>
      <c r="D51" s="399"/>
      <c r="E51" s="399"/>
      <c r="F51" s="399"/>
      <c r="G51" s="399"/>
      <c r="H51" s="399"/>
      <c r="I51" s="138">
        <v>33</v>
      </c>
      <c r="J51" s="262">
        <f>ROUND(J52+J53,2)</f>
        <v>0</v>
      </c>
      <c r="K51" s="262">
        <f>ROUND(K52+K53,2)</f>
        <v>0</v>
      </c>
      <c r="L51" s="78" t="str">
        <f t="shared" si="0"/>
        <v>-</v>
      </c>
    </row>
    <row r="52" spans="2:12" ht="12.75" customHeight="1">
      <c r="B52" s="253">
        <v>3531</v>
      </c>
      <c r="C52" s="399" t="s">
        <v>986</v>
      </c>
      <c r="D52" s="399"/>
      <c r="E52" s="399"/>
      <c r="F52" s="399"/>
      <c r="G52" s="399"/>
      <c r="H52" s="399"/>
      <c r="I52" s="138">
        <v>34</v>
      </c>
      <c r="J52" s="263"/>
      <c r="K52" s="263"/>
      <c r="L52" s="78" t="str">
        <f t="shared" si="0"/>
        <v>-</v>
      </c>
    </row>
    <row r="53" spans="2:12" ht="12.75" customHeight="1">
      <c r="B53" s="253">
        <v>3532</v>
      </c>
      <c r="C53" s="399" t="s">
        <v>234</v>
      </c>
      <c r="D53" s="399"/>
      <c r="E53" s="399"/>
      <c r="F53" s="399"/>
      <c r="G53" s="399"/>
      <c r="H53" s="399"/>
      <c r="I53" s="138">
        <v>35</v>
      </c>
      <c r="J53" s="263"/>
      <c r="K53" s="263"/>
      <c r="L53" s="78" t="str">
        <f t="shared" si="0"/>
        <v>-</v>
      </c>
    </row>
    <row r="54" spans="2:12" ht="12.75">
      <c r="B54" s="253">
        <v>354</v>
      </c>
      <c r="C54" s="413" t="s">
        <v>987</v>
      </c>
      <c r="D54" s="413"/>
      <c r="E54" s="413"/>
      <c r="F54" s="413"/>
      <c r="G54" s="413"/>
      <c r="H54" s="413"/>
      <c r="I54" s="138">
        <v>36</v>
      </c>
      <c r="J54" s="263"/>
      <c r="K54" s="263">
        <v>112.69</v>
      </c>
      <c r="L54" s="78" t="str">
        <f t="shared" si="0"/>
        <v>-</v>
      </c>
    </row>
    <row r="55" spans="2:12" ht="12.75" customHeight="1">
      <c r="B55" s="253">
        <v>355</v>
      </c>
      <c r="C55" s="399" t="s">
        <v>235</v>
      </c>
      <c r="D55" s="399"/>
      <c r="E55" s="399"/>
      <c r="F55" s="399"/>
      <c r="G55" s="399"/>
      <c r="H55" s="399"/>
      <c r="I55" s="138">
        <v>37</v>
      </c>
      <c r="J55" s="262">
        <f>ROUND(J56+J57,2)</f>
        <v>0</v>
      </c>
      <c r="K55" s="262">
        <f>ROUND(K56+K57,2)</f>
        <v>0</v>
      </c>
      <c r="L55" s="78" t="str">
        <f t="shared" si="0"/>
        <v>-</v>
      </c>
    </row>
    <row r="56" spans="2:12" ht="12.75" customHeight="1">
      <c r="B56" s="253">
        <v>3551</v>
      </c>
      <c r="C56" s="399" t="s">
        <v>988</v>
      </c>
      <c r="D56" s="399"/>
      <c r="E56" s="399"/>
      <c r="F56" s="399"/>
      <c r="G56" s="399"/>
      <c r="H56" s="399"/>
      <c r="I56" s="138">
        <v>38</v>
      </c>
      <c r="J56" s="263"/>
      <c r="K56" s="263"/>
      <c r="L56" s="78" t="str">
        <f>IF(J56&gt;0,IF(K56/J56&gt;=100,"&gt;&gt;100",K56/J56*100),"-")</f>
        <v>-</v>
      </c>
    </row>
    <row r="57" spans="2:12" ht="12.75" customHeight="1">
      <c r="B57" s="253">
        <v>3552</v>
      </c>
      <c r="C57" s="399" t="s">
        <v>236</v>
      </c>
      <c r="D57" s="399"/>
      <c r="E57" s="399"/>
      <c r="F57" s="399"/>
      <c r="G57" s="399"/>
      <c r="H57" s="399"/>
      <c r="I57" s="138">
        <v>39</v>
      </c>
      <c r="J57" s="263"/>
      <c r="K57" s="263"/>
      <c r="L57" s="78" t="str">
        <f>IF(J57&gt;0,IF(K57/J57&gt;=100,"&gt;&gt;100",K57/J57*100),"-")</f>
        <v>-</v>
      </c>
    </row>
    <row r="58" spans="2:12" ht="12.75" customHeight="1">
      <c r="B58" s="253">
        <v>36</v>
      </c>
      <c r="C58" s="407" t="s">
        <v>241</v>
      </c>
      <c r="D58" s="408"/>
      <c r="E58" s="408"/>
      <c r="F58" s="408"/>
      <c r="G58" s="408"/>
      <c r="H58" s="409"/>
      <c r="I58" s="138">
        <v>40</v>
      </c>
      <c r="J58" s="262">
        <f>ROUND(J59+J62+J63,2)</f>
        <v>0</v>
      </c>
      <c r="K58" s="262">
        <f>ROUND(K59+K62+K63,2)</f>
        <v>0</v>
      </c>
      <c r="L58" s="78" t="str">
        <f t="shared" si="0"/>
        <v>-</v>
      </c>
    </row>
    <row r="59" spans="2:12" ht="12.75" customHeight="1">
      <c r="B59" s="253">
        <v>361</v>
      </c>
      <c r="C59" s="407" t="s">
        <v>242</v>
      </c>
      <c r="D59" s="408"/>
      <c r="E59" s="408"/>
      <c r="F59" s="408"/>
      <c r="G59" s="408"/>
      <c r="H59" s="409"/>
      <c r="I59" s="138">
        <v>41</v>
      </c>
      <c r="J59" s="262">
        <f>ROUND(J60+J61,2)</f>
        <v>0</v>
      </c>
      <c r="K59" s="262">
        <f>ROUND(K60+K61,2)</f>
        <v>0</v>
      </c>
      <c r="L59" s="78" t="str">
        <f t="shared" si="0"/>
        <v>-</v>
      </c>
    </row>
    <row r="60" spans="2:12" ht="12.75">
      <c r="B60" s="253">
        <v>3611</v>
      </c>
      <c r="C60" s="413" t="s">
        <v>1093</v>
      </c>
      <c r="D60" s="413"/>
      <c r="E60" s="413"/>
      <c r="F60" s="413"/>
      <c r="G60" s="413"/>
      <c r="H60" s="413"/>
      <c r="I60" s="138">
        <v>42</v>
      </c>
      <c r="J60" s="263"/>
      <c r="K60" s="263"/>
      <c r="L60" s="78" t="str">
        <f t="shared" si="0"/>
        <v>-</v>
      </c>
    </row>
    <row r="61" spans="2:12" ht="12.75">
      <c r="B61" s="253">
        <v>3612</v>
      </c>
      <c r="C61" s="413" t="s">
        <v>1094</v>
      </c>
      <c r="D61" s="413"/>
      <c r="E61" s="413"/>
      <c r="F61" s="413"/>
      <c r="G61" s="413"/>
      <c r="H61" s="413"/>
      <c r="I61" s="138">
        <v>43</v>
      </c>
      <c r="J61" s="263"/>
      <c r="K61" s="263"/>
      <c r="L61" s="78" t="str">
        <f t="shared" si="0"/>
        <v>-</v>
      </c>
    </row>
    <row r="62" spans="2:12" ht="12.75">
      <c r="B62" s="253">
        <v>362</v>
      </c>
      <c r="C62" s="413" t="s">
        <v>989</v>
      </c>
      <c r="D62" s="413"/>
      <c r="E62" s="413"/>
      <c r="F62" s="413"/>
      <c r="G62" s="413"/>
      <c r="H62" s="413"/>
      <c r="I62" s="138">
        <v>44</v>
      </c>
      <c r="J62" s="263"/>
      <c r="K62" s="263"/>
      <c r="L62" s="78" t="str">
        <f t="shared" si="0"/>
        <v>-</v>
      </c>
    </row>
    <row r="63" spans="2:12" ht="12.75" customHeight="1">
      <c r="B63" s="253">
        <v>363</v>
      </c>
      <c r="C63" s="407" t="s">
        <v>243</v>
      </c>
      <c r="D63" s="408"/>
      <c r="E63" s="408"/>
      <c r="F63" s="408"/>
      <c r="G63" s="408"/>
      <c r="H63" s="409"/>
      <c r="I63" s="138">
        <v>45</v>
      </c>
      <c r="J63" s="262">
        <f>ROUND(SUM(J64:J66),2)</f>
        <v>0</v>
      </c>
      <c r="K63" s="262">
        <f>ROUND(SUM(K64:K66),2)</f>
        <v>0</v>
      </c>
      <c r="L63" s="78" t="str">
        <f t="shared" si="0"/>
        <v>-</v>
      </c>
    </row>
    <row r="64" spans="2:12" ht="12.75">
      <c r="B64" s="253">
        <v>3631</v>
      </c>
      <c r="C64" s="413" t="s">
        <v>1095</v>
      </c>
      <c r="D64" s="413"/>
      <c r="E64" s="413"/>
      <c r="F64" s="413"/>
      <c r="G64" s="413"/>
      <c r="H64" s="413"/>
      <c r="I64" s="138">
        <v>46</v>
      </c>
      <c r="J64" s="263"/>
      <c r="K64" s="263"/>
      <c r="L64" s="78" t="str">
        <f t="shared" si="0"/>
        <v>-</v>
      </c>
    </row>
    <row r="65" spans="2:12" ht="12.75">
      <c r="B65" s="253">
        <v>3632</v>
      </c>
      <c r="C65" s="413" t="s">
        <v>901</v>
      </c>
      <c r="D65" s="413"/>
      <c r="E65" s="413"/>
      <c r="F65" s="413"/>
      <c r="G65" s="413"/>
      <c r="H65" s="413"/>
      <c r="I65" s="138">
        <v>47</v>
      </c>
      <c r="J65" s="263"/>
      <c r="K65" s="263"/>
      <c r="L65" s="78" t="str">
        <f t="shared" si="0"/>
        <v>-</v>
      </c>
    </row>
    <row r="66" spans="2:12" ht="12.75">
      <c r="B66" s="253">
        <v>3633</v>
      </c>
      <c r="C66" s="413" t="s">
        <v>902</v>
      </c>
      <c r="D66" s="413"/>
      <c r="E66" s="413"/>
      <c r="F66" s="413"/>
      <c r="G66" s="413"/>
      <c r="H66" s="413"/>
      <c r="I66" s="138">
        <v>48</v>
      </c>
      <c r="J66" s="263"/>
      <c r="K66" s="263"/>
      <c r="L66" s="78" t="str">
        <f t="shared" si="0"/>
        <v>-</v>
      </c>
    </row>
    <row r="67" spans="2:12" ht="12.75" customHeight="1">
      <c r="B67" s="253">
        <v>37</v>
      </c>
      <c r="C67" s="400" t="s">
        <v>244</v>
      </c>
      <c r="D67" s="401"/>
      <c r="E67" s="401"/>
      <c r="F67" s="401"/>
      <c r="G67" s="401"/>
      <c r="H67" s="402"/>
      <c r="I67" s="138">
        <v>49</v>
      </c>
      <c r="J67" s="262">
        <f>ROUND(SUM(J68:J71),2)</f>
        <v>0</v>
      </c>
      <c r="K67" s="262">
        <f>ROUND(SUM(K68:K71),2)</f>
        <v>0</v>
      </c>
      <c r="L67" s="78" t="str">
        <f t="shared" si="0"/>
        <v>-</v>
      </c>
    </row>
    <row r="68" spans="2:12" ht="12.75">
      <c r="B68" s="253">
        <v>3711</v>
      </c>
      <c r="C68" s="413" t="s">
        <v>1427</v>
      </c>
      <c r="D68" s="413"/>
      <c r="E68" s="413"/>
      <c r="F68" s="413"/>
      <c r="G68" s="413"/>
      <c r="H68" s="413"/>
      <c r="I68" s="138">
        <v>50</v>
      </c>
      <c r="J68" s="263"/>
      <c r="K68" s="263"/>
      <c r="L68" s="78" t="str">
        <f t="shared" si="0"/>
        <v>-</v>
      </c>
    </row>
    <row r="69" spans="2:12" ht="12.75">
      <c r="B69" s="253">
        <v>3712</v>
      </c>
      <c r="C69" s="413" t="s">
        <v>1428</v>
      </c>
      <c r="D69" s="413"/>
      <c r="E69" s="413"/>
      <c r="F69" s="413"/>
      <c r="G69" s="413"/>
      <c r="H69" s="413"/>
      <c r="I69" s="138">
        <v>51</v>
      </c>
      <c r="J69" s="263"/>
      <c r="K69" s="263"/>
      <c r="L69" s="78" t="str">
        <f t="shared" si="0"/>
        <v>-</v>
      </c>
    </row>
    <row r="70" spans="2:12" ht="12.75" customHeight="1">
      <c r="B70" s="253">
        <v>3713</v>
      </c>
      <c r="C70" s="400" t="s">
        <v>238</v>
      </c>
      <c r="D70" s="401"/>
      <c r="E70" s="401"/>
      <c r="F70" s="401"/>
      <c r="G70" s="401"/>
      <c r="H70" s="402"/>
      <c r="I70" s="138">
        <v>52</v>
      </c>
      <c r="J70" s="263"/>
      <c r="K70" s="263"/>
      <c r="L70" s="78" t="str">
        <f>IF(J70&gt;0,IF(K70/J70&gt;=100,"&gt;&gt;100",K70/J70*100),"-")</f>
        <v>-</v>
      </c>
    </row>
    <row r="71" spans="2:12" ht="12.75" customHeight="1">
      <c r="B71" s="254">
        <v>3714</v>
      </c>
      <c r="C71" s="400" t="s">
        <v>237</v>
      </c>
      <c r="D71" s="401"/>
      <c r="E71" s="401"/>
      <c r="F71" s="401"/>
      <c r="G71" s="401"/>
      <c r="H71" s="402"/>
      <c r="I71" s="138">
        <v>53</v>
      </c>
      <c r="J71" s="264"/>
      <c r="K71" s="264"/>
      <c r="L71" s="79" t="str">
        <f>IF(J71&gt;0,IF(K71/J71&gt;=100,"&gt;&gt;100",K71/J71*100),"-")</f>
        <v>-</v>
      </c>
    </row>
    <row r="72" spans="2:12" ht="12.75">
      <c r="B72" s="461" t="s">
        <v>1313</v>
      </c>
      <c r="C72" s="462"/>
      <c r="D72" s="462"/>
      <c r="E72" s="462"/>
      <c r="F72" s="462"/>
      <c r="G72" s="462"/>
      <c r="H72" s="462"/>
      <c r="I72" s="462"/>
      <c r="J72" s="462"/>
      <c r="K72" s="462"/>
      <c r="L72" s="463"/>
    </row>
    <row r="73" spans="2:12" ht="12.75" customHeight="1">
      <c r="B73" s="135" t="s">
        <v>2241</v>
      </c>
      <c r="C73" s="414" t="s">
        <v>245</v>
      </c>
      <c r="D73" s="414"/>
      <c r="E73" s="414"/>
      <c r="F73" s="414"/>
      <c r="G73" s="414"/>
      <c r="H73" s="415"/>
      <c r="I73" s="136">
        <v>54</v>
      </c>
      <c r="J73" s="261">
        <f>ROUND(J74+J86+J127+J128+J139+J147+J158,2)</f>
        <v>126342.39</v>
      </c>
      <c r="K73" s="261">
        <f>ROUND(K74+K86+K127+K128+K139+K147+K158,2)</f>
        <v>75905.16</v>
      </c>
      <c r="L73" s="77">
        <f aca="true" t="shared" si="1" ref="L73:L99">IF(J73&gt;0,IF(K73/J73&gt;=100,"&gt;&gt;100",K73/J73*100),"-")</f>
        <v>60.07893312766998</v>
      </c>
    </row>
    <row r="74" spans="2:12" ht="12.75" customHeight="1">
      <c r="B74" s="137" t="s">
        <v>2242</v>
      </c>
      <c r="C74" s="408" t="s">
        <v>246</v>
      </c>
      <c r="D74" s="408"/>
      <c r="E74" s="408"/>
      <c r="F74" s="408"/>
      <c r="G74" s="408"/>
      <c r="H74" s="409"/>
      <c r="I74" s="138">
        <v>55</v>
      </c>
      <c r="J74" s="262">
        <f>ROUND(J75+J80+J81,2)</f>
        <v>73043.86</v>
      </c>
      <c r="K74" s="262">
        <f>ROUND(K75+K80+K81,2)</f>
        <v>50154.17</v>
      </c>
      <c r="L74" s="78">
        <f t="shared" si="1"/>
        <v>68.66308817743202</v>
      </c>
    </row>
    <row r="75" spans="2:12" ht="12.75" customHeight="1">
      <c r="B75" s="137">
        <v>411</v>
      </c>
      <c r="C75" s="408" t="s">
        <v>247</v>
      </c>
      <c r="D75" s="408"/>
      <c r="E75" s="408"/>
      <c r="F75" s="408"/>
      <c r="G75" s="408"/>
      <c r="H75" s="409"/>
      <c r="I75" s="138">
        <v>56</v>
      </c>
      <c r="J75" s="262">
        <f>ROUND(SUM(J76:J79),2)</f>
        <v>63493.93</v>
      </c>
      <c r="K75" s="262">
        <f>ROUND(SUM(K76:K79),2)</f>
        <v>43796.75</v>
      </c>
      <c r="L75" s="78">
        <f t="shared" si="1"/>
        <v>68.97785347355251</v>
      </c>
    </row>
    <row r="76" spans="2:12" ht="12.75">
      <c r="B76" s="137">
        <v>4111</v>
      </c>
      <c r="C76" s="412" t="s">
        <v>903</v>
      </c>
      <c r="D76" s="412"/>
      <c r="E76" s="412"/>
      <c r="F76" s="412"/>
      <c r="G76" s="412"/>
      <c r="H76" s="412"/>
      <c r="I76" s="138">
        <v>57</v>
      </c>
      <c r="J76" s="263">
        <v>63493.93</v>
      </c>
      <c r="K76" s="263">
        <v>43796.75</v>
      </c>
      <c r="L76" s="78">
        <f t="shared" si="1"/>
        <v>68.97785347355251</v>
      </c>
    </row>
    <row r="77" spans="2:12" ht="12.75">
      <c r="B77" s="137">
        <v>4112</v>
      </c>
      <c r="C77" s="412" t="s">
        <v>904</v>
      </c>
      <c r="D77" s="412"/>
      <c r="E77" s="412"/>
      <c r="F77" s="412"/>
      <c r="G77" s="412"/>
      <c r="H77" s="412"/>
      <c r="I77" s="138">
        <v>58</v>
      </c>
      <c r="J77" s="263"/>
      <c r="K77" s="263"/>
      <c r="L77" s="78" t="str">
        <f t="shared" si="1"/>
        <v>-</v>
      </c>
    </row>
    <row r="78" spans="2:12" ht="12.75">
      <c r="B78" s="137">
        <v>4113</v>
      </c>
      <c r="C78" s="412" t="s">
        <v>905</v>
      </c>
      <c r="D78" s="412"/>
      <c r="E78" s="412"/>
      <c r="F78" s="412"/>
      <c r="G78" s="412"/>
      <c r="H78" s="412"/>
      <c r="I78" s="138">
        <v>59</v>
      </c>
      <c r="J78" s="263"/>
      <c r="K78" s="263"/>
      <c r="L78" s="78" t="str">
        <f t="shared" si="1"/>
        <v>-</v>
      </c>
    </row>
    <row r="79" spans="2:12" ht="12.75">
      <c r="B79" s="137">
        <v>4114</v>
      </c>
      <c r="C79" s="412" t="s">
        <v>906</v>
      </c>
      <c r="D79" s="412"/>
      <c r="E79" s="412"/>
      <c r="F79" s="412"/>
      <c r="G79" s="412"/>
      <c r="H79" s="412"/>
      <c r="I79" s="138">
        <v>60</v>
      </c>
      <c r="J79" s="263"/>
      <c r="K79" s="263"/>
      <c r="L79" s="78" t="str">
        <f t="shared" si="1"/>
        <v>-</v>
      </c>
    </row>
    <row r="80" spans="2:12" ht="12.75">
      <c r="B80" s="137">
        <v>412</v>
      </c>
      <c r="C80" s="412" t="s">
        <v>990</v>
      </c>
      <c r="D80" s="412"/>
      <c r="E80" s="412"/>
      <c r="F80" s="412"/>
      <c r="G80" s="412"/>
      <c r="H80" s="412"/>
      <c r="I80" s="138">
        <v>61</v>
      </c>
      <c r="J80" s="263">
        <v>597.25</v>
      </c>
      <c r="K80" s="263">
        <v>700</v>
      </c>
      <c r="L80" s="78">
        <f t="shared" si="1"/>
        <v>117.20385098367518</v>
      </c>
    </row>
    <row r="81" spans="2:12" ht="12.75" customHeight="1">
      <c r="B81" s="137">
        <v>413</v>
      </c>
      <c r="C81" s="408" t="s">
        <v>248</v>
      </c>
      <c r="D81" s="408"/>
      <c r="E81" s="408"/>
      <c r="F81" s="408"/>
      <c r="G81" s="408"/>
      <c r="H81" s="409"/>
      <c r="I81" s="138">
        <v>62</v>
      </c>
      <c r="J81" s="262">
        <f>ROUND(SUM(J82:J85),2)</f>
        <v>8952.68</v>
      </c>
      <c r="K81" s="262">
        <f>ROUND(SUM(K82:K85),2)</f>
        <v>5657.42</v>
      </c>
      <c r="L81" s="78">
        <f t="shared" si="1"/>
        <v>63.19247420884025</v>
      </c>
    </row>
    <row r="82" spans="2:12" ht="12.75">
      <c r="B82" s="137">
        <v>4131</v>
      </c>
      <c r="C82" s="412" t="s">
        <v>907</v>
      </c>
      <c r="D82" s="412"/>
      <c r="E82" s="412"/>
      <c r="F82" s="412"/>
      <c r="G82" s="412"/>
      <c r="H82" s="412"/>
      <c r="I82" s="138">
        <v>63</v>
      </c>
      <c r="J82" s="263">
        <v>8952.68</v>
      </c>
      <c r="K82" s="263">
        <v>5657.42</v>
      </c>
      <c r="L82" s="78">
        <f t="shared" si="1"/>
        <v>63.19247420884025</v>
      </c>
    </row>
    <row r="83" spans="2:12" ht="12.75">
      <c r="B83" s="137">
        <v>4132</v>
      </c>
      <c r="C83" s="412" t="s">
        <v>908</v>
      </c>
      <c r="D83" s="412"/>
      <c r="E83" s="412"/>
      <c r="F83" s="412"/>
      <c r="G83" s="412"/>
      <c r="H83" s="412"/>
      <c r="I83" s="138">
        <v>64</v>
      </c>
      <c r="J83" s="263"/>
      <c r="K83" s="263"/>
      <c r="L83" s="78" t="str">
        <f t="shared" si="1"/>
        <v>-</v>
      </c>
    </row>
    <row r="84" spans="2:12" ht="12.75">
      <c r="B84" s="137">
        <v>4133</v>
      </c>
      <c r="C84" s="412" t="s">
        <v>2870</v>
      </c>
      <c r="D84" s="412"/>
      <c r="E84" s="412"/>
      <c r="F84" s="412"/>
      <c r="G84" s="412"/>
      <c r="H84" s="412"/>
      <c r="I84" s="138">
        <v>65</v>
      </c>
      <c r="J84" s="263"/>
      <c r="K84" s="263"/>
      <c r="L84" s="78" t="str">
        <f t="shared" si="1"/>
        <v>-</v>
      </c>
    </row>
    <row r="85" spans="2:12" ht="12.75">
      <c r="B85" s="137">
        <v>4134</v>
      </c>
      <c r="C85" s="412" t="s">
        <v>2871</v>
      </c>
      <c r="D85" s="412"/>
      <c r="E85" s="412"/>
      <c r="F85" s="412"/>
      <c r="G85" s="412"/>
      <c r="H85" s="412"/>
      <c r="I85" s="138">
        <v>66</v>
      </c>
      <c r="J85" s="263"/>
      <c r="K85" s="263"/>
      <c r="L85" s="78" t="str">
        <f t="shared" si="1"/>
        <v>-</v>
      </c>
    </row>
    <row r="86" spans="2:12" ht="12.75" customHeight="1">
      <c r="B86" s="137">
        <v>42</v>
      </c>
      <c r="C86" s="408" t="s">
        <v>249</v>
      </c>
      <c r="D86" s="408"/>
      <c r="E86" s="408"/>
      <c r="F86" s="408"/>
      <c r="G86" s="408"/>
      <c r="H86" s="409"/>
      <c r="I86" s="138">
        <v>67</v>
      </c>
      <c r="J86" s="262">
        <f>ROUND(J87+J91+J96+J101+J106+J116+J121,2)</f>
        <v>43074.92</v>
      </c>
      <c r="K86" s="262">
        <f>ROUND(K87+K91+K96+K101+K106+K116+K121,2)</f>
        <v>22756.3</v>
      </c>
      <c r="L86" s="78">
        <f t="shared" si="1"/>
        <v>52.82958157554326</v>
      </c>
    </row>
    <row r="87" spans="2:12" ht="12.75" customHeight="1">
      <c r="B87" s="137">
        <v>421</v>
      </c>
      <c r="C87" s="408" t="s">
        <v>250</v>
      </c>
      <c r="D87" s="408"/>
      <c r="E87" s="408"/>
      <c r="F87" s="408"/>
      <c r="G87" s="408"/>
      <c r="H87" s="409"/>
      <c r="I87" s="138">
        <v>68</v>
      </c>
      <c r="J87" s="262">
        <f>ROUND(SUM(J88:J90),2)</f>
        <v>280.05</v>
      </c>
      <c r="K87" s="262">
        <f>ROUND(SUM(K88:K90),2)</f>
        <v>1633.21</v>
      </c>
      <c r="L87" s="78">
        <f t="shared" si="1"/>
        <v>583.1851455097304</v>
      </c>
    </row>
    <row r="88" spans="2:12" ht="12.75">
      <c r="B88" s="137">
        <v>4211</v>
      </c>
      <c r="C88" s="412" t="s">
        <v>2243</v>
      </c>
      <c r="D88" s="412"/>
      <c r="E88" s="412"/>
      <c r="F88" s="412"/>
      <c r="G88" s="412"/>
      <c r="H88" s="412"/>
      <c r="I88" s="138">
        <v>69</v>
      </c>
      <c r="J88" s="263">
        <v>280.05</v>
      </c>
      <c r="K88" s="263">
        <v>1633.21</v>
      </c>
      <c r="L88" s="78">
        <f t="shared" si="1"/>
        <v>583.1851455097304</v>
      </c>
    </row>
    <row r="89" spans="2:12" ht="12.75">
      <c r="B89" s="137">
        <v>4212</v>
      </c>
      <c r="C89" s="412" t="s">
        <v>1299</v>
      </c>
      <c r="D89" s="412"/>
      <c r="E89" s="412"/>
      <c r="F89" s="412"/>
      <c r="G89" s="412"/>
      <c r="H89" s="412"/>
      <c r="I89" s="138">
        <v>70</v>
      </c>
      <c r="J89" s="263"/>
      <c r="K89" s="263"/>
      <c r="L89" s="78" t="str">
        <f t="shared" si="1"/>
        <v>-</v>
      </c>
    </row>
    <row r="90" spans="2:12" ht="12.75">
      <c r="B90" s="137">
        <v>4213</v>
      </c>
      <c r="C90" s="412" t="s">
        <v>991</v>
      </c>
      <c r="D90" s="412"/>
      <c r="E90" s="412"/>
      <c r="F90" s="412"/>
      <c r="G90" s="412"/>
      <c r="H90" s="412"/>
      <c r="I90" s="138">
        <v>71</v>
      </c>
      <c r="J90" s="263"/>
      <c r="K90" s="263"/>
      <c r="L90" s="78" t="str">
        <f t="shared" si="1"/>
        <v>-</v>
      </c>
    </row>
    <row r="91" spans="2:12" ht="12.75">
      <c r="B91" s="137">
        <v>422</v>
      </c>
      <c r="C91" s="466" t="s">
        <v>251</v>
      </c>
      <c r="D91" s="467"/>
      <c r="E91" s="467"/>
      <c r="F91" s="467"/>
      <c r="G91" s="467"/>
      <c r="H91" s="468"/>
      <c r="I91" s="138">
        <v>72</v>
      </c>
      <c r="J91" s="262">
        <f>ROUND(SUM(J92:J95),2)</f>
        <v>0</v>
      </c>
      <c r="K91" s="262">
        <f>ROUND(SUM(K92:K95),2)</f>
        <v>0</v>
      </c>
      <c r="L91" s="78" t="str">
        <f t="shared" si="1"/>
        <v>-</v>
      </c>
    </row>
    <row r="92" spans="2:12" ht="12.75">
      <c r="B92" s="137">
        <v>4221</v>
      </c>
      <c r="C92" s="412" t="s">
        <v>992</v>
      </c>
      <c r="D92" s="412"/>
      <c r="E92" s="412"/>
      <c r="F92" s="412"/>
      <c r="G92" s="412"/>
      <c r="H92" s="412"/>
      <c r="I92" s="138">
        <v>73</v>
      </c>
      <c r="J92" s="263"/>
      <c r="K92" s="263"/>
      <c r="L92" s="78" t="str">
        <f t="shared" si="1"/>
        <v>-</v>
      </c>
    </row>
    <row r="93" spans="2:12" ht="12.75">
      <c r="B93" s="137">
        <v>4222</v>
      </c>
      <c r="C93" s="412" t="s">
        <v>993</v>
      </c>
      <c r="D93" s="412"/>
      <c r="E93" s="412"/>
      <c r="F93" s="412"/>
      <c r="G93" s="412"/>
      <c r="H93" s="412"/>
      <c r="I93" s="138">
        <v>74</v>
      </c>
      <c r="J93" s="263"/>
      <c r="K93" s="263"/>
      <c r="L93" s="78" t="str">
        <f t="shared" si="1"/>
        <v>-</v>
      </c>
    </row>
    <row r="94" spans="2:12" ht="12.75">
      <c r="B94" s="137">
        <v>4223</v>
      </c>
      <c r="C94" s="412" t="s">
        <v>994</v>
      </c>
      <c r="D94" s="412"/>
      <c r="E94" s="412"/>
      <c r="F94" s="412"/>
      <c r="G94" s="412"/>
      <c r="H94" s="412"/>
      <c r="I94" s="138">
        <v>75</v>
      </c>
      <c r="J94" s="263"/>
      <c r="K94" s="263"/>
      <c r="L94" s="78" t="str">
        <f t="shared" si="1"/>
        <v>-</v>
      </c>
    </row>
    <row r="95" spans="2:12" ht="12.75">
      <c r="B95" s="137">
        <v>4224</v>
      </c>
      <c r="C95" s="412" t="s">
        <v>995</v>
      </c>
      <c r="D95" s="412"/>
      <c r="E95" s="412"/>
      <c r="F95" s="412"/>
      <c r="G95" s="412"/>
      <c r="H95" s="412"/>
      <c r="I95" s="138">
        <v>76</v>
      </c>
      <c r="J95" s="263"/>
      <c r="K95" s="263"/>
      <c r="L95" s="78" t="str">
        <f t="shared" si="1"/>
        <v>-</v>
      </c>
    </row>
    <row r="96" spans="2:12" ht="12.75" customHeight="1">
      <c r="B96" s="137">
        <v>423</v>
      </c>
      <c r="C96" s="412" t="s">
        <v>252</v>
      </c>
      <c r="D96" s="412"/>
      <c r="E96" s="412"/>
      <c r="F96" s="412"/>
      <c r="G96" s="412"/>
      <c r="H96" s="412"/>
      <c r="I96" s="138">
        <v>77</v>
      </c>
      <c r="J96" s="262">
        <f>ROUND(SUM(J97:J100),2)</f>
        <v>0</v>
      </c>
      <c r="K96" s="262">
        <f>ROUND(SUM(K97:K100),2)</f>
        <v>115.12</v>
      </c>
      <c r="L96" s="78" t="str">
        <f t="shared" si="1"/>
        <v>-</v>
      </c>
    </row>
    <row r="97" spans="2:12" ht="12.75">
      <c r="B97" s="137">
        <v>4231</v>
      </c>
      <c r="C97" s="412" t="s">
        <v>996</v>
      </c>
      <c r="D97" s="412"/>
      <c r="E97" s="412"/>
      <c r="F97" s="412"/>
      <c r="G97" s="412"/>
      <c r="H97" s="412"/>
      <c r="I97" s="138">
        <v>78</v>
      </c>
      <c r="J97" s="263"/>
      <c r="K97" s="263">
        <v>115.12</v>
      </c>
      <c r="L97" s="78" t="str">
        <f t="shared" si="1"/>
        <v>-</v>
      </c>
    </row>
    <row r="98" spans="2:12" ht="12.75">
      <c r="B98" s="137">
        <v>4232</v>
      </c>
      <c r="C98" s="412" t="s">
        <v>993</v>
      </c>
      <c r="D98" s="412"/>
      <c r="E98" s="412"/>
      <c r="F98" s="412"/>
      <c r="G98" s="412"/>
      <c r="H98" s="412"/>
      <c r="I98" s="138">
        <v>79</v>
      </c>
      <c r="J98" s="263"/>
      <c r="K98" s="263"/>
      <c r="L98" s="78" t="str">
        <f t="shared" si="1"/>
        <v>-</v>
      </c>
    </row>
    <row r="99" spans="2:12" ht="12.75">
      <c r="B99" s="137">
        <v>4233</v>
      </c>
      <c r="C99" s="412" t="s">
        <v>994</v>
      </c>
      <c r="D99" s="412"/>
      <c r="E99" s="412"/>
      <c r="F99" s="412"/>
      <c r="G99" s="412"/>
      <c r="H99" s="412"/>
      <c r="I99" s="138">
        <v>80</v>
      </c>
      <c r="J99" s="263"/>
      <c r="K99" s="263"/>
      <c r="L99" s="78" t="str">
        <f t="shared" si="1"/>
        <v>-</v>
      </c>
    </row>
    <row r="100" spans="2:12" ht="12.75">
      <c r="B100" s="137">
        <v>4234</v>
      </c>
      <c r="C100" s="412" t="s">
        <v>995</v>
      </c>
      <c r="D100" s="412"/>
      <c r="E100" s="412"/>
      <c r="F100" s="412"/>
      <c r="G100" s="412"/>
      <c r="H100" s="412"/>
      <c r="I100" s="138">
        <v>81</v>
      </c>
      <c r="J100" s="263"/>
      <c r="K100" s="263"/>
      <c r="L100" s="78" t="str">
        <f aca="true" t="shared" si="2" ref="L100:L173">IF(J100&gt;0,IF(K100/J100&gt;=100,"&gt;&gt;100",K100/J100*100),"-")</f>
        <v>-</v>
      </c>
    </row>
    <row r="101" spans="2:12" ht="12.75" customHeight="1">
      <c r="B101" s="137">
        <v>424</v>
      </c>
      <c r="C101" s="412" t="s">
        <v>253</v>
      </c>
      <c r="D101" s="412"/>
      <c r="E101" s="412"/>
      <c r="F101" s="412"/>
      <c r="G101" s="412"/>
      <c r="H101" s="412"/>
      <c r="I101" s="138">
        <v>82</v>
      </c>
      <c r="J101" s="262">
        <f>ROUND(SUM(J102:J105),2)</f>
        <v>5972.53</v>
      </c>
      <c r="K101" s="262">
        <f>ROUND(SUM(K102:K105),2)</f>
        <v>0</v>
      </c>
      <c r="L101" s="78">
        <f t="shared" si="2"/>
        <v>0</v>
      </c>
    </row>
    <row r="102" spans="2:12" ht="12.75">
      <c r="B102" s="137">
        <v>4241</v>
      </c>
      <c r="C102" s="412" t="s">
        <v>992</v>
      </c>
      <c r="D102" s="412"/>
      <c r="E102" s="412"/>
      <c r="F102" s="412"/>
      <c r="G102" s="412"/>
      <c r="H102" s="412"/>
      <c r="I102" s="138">
        <v>83</v>
      </c>
      <c r="J102" s="263">
        <v>5972.53</v>
      </c>
      <c r="K102" s="263"/>
      <c r="L102" s="78">
        <f t="shared" si="2"/>
        <v>0</v>
      </c>
    </row>
    <row r="103" spans="2:12" ht="12.75">
      <c r="B103" s="137">
        <v>4242</v>
      </c>
      <c r="C103" s="412" t="s">
        <v>993</v>
      </c>
      <c r="D103" s="412"/>
      <c r="E103" s="412"/>
      <c r="F103" s="412"/>
      <c r="G103" s="412"/>
      <c r="H103" s="412"/>
      <c r="I103" s="138">
        <v>84</v>
      </c>
      <c r="J103" s="263"/>
      <c r="K103" s="263"/>
      <c r="L103" s="78" t="str">
        <f t="shared" si="2"/>
        <v>-</v>
      </c>
    </row>
    <row r="104" spans="2:12" ht="12.75">
      <c r="B104" s="137">
        <v>4243</v>
      </c>
      <c r="C104" s="412" t="s">
        <v>994</v>
      </c>
      <c r="D104" s="412"/>
      <c r="E104" s="412"/>
      <c r="F104" s="412"/>
      <c r="G104" s="412"/>
      <c r="H104" s="412"/>
      <c r="I104" s="138">
        <v>85</v>
      </c>
      <c r="J104" s="263"/>
      <c r="K104" s="263"/>
      <c r="L104" s="78" t="str">
        <f t="shared" si="2"/>
        <v>-</v>
      </c>
    </row>
    <row r="105" spans="2:12" ht="12.75">
      <c r="B105" s="137">
        <v>4244</v>
      </c>
      <c r="C105" s="412" t="s">
        <v>997</v>
      </c>
      <c r="D105" s="412"/>
      <c r="E105" s="412"/>
      <c r="F105" s="412"/>
      <c r="G105" s="412"/>
      <c r="H105" s="412"/>
      <c r="I105" s="138">
        <v>86</v>
      </c>
      <c r="J105" s="263"/>
      <c r="K105" s="263"/>
      <c r="L105" s="78" t="str">
        <f t="shared" si="2"/>
        <v>-</v>
      </c>
    </row>
    <row r="106" spans="2:12" ht="12.75" customHeight="1">
      <c r="B106" s="137">
        <v>425</v>
      </c>
      <c r="C106" s="412" t="s">
        <v>254</v>
      </c>
      <c r="D106" s="412"/>
      <c r="E106" s="412"/>
      <c r="F106" s="412"/>
      <c r="G106" s="412"/>
      <c r="H106" s="412"/>
      <c r="I106" s="138">
        <v>87</v>
      </c>
      <c r="J106" s="262">
        <f>ROUND(SUM(J107:J115),2)</f>
        <v>19325.23</v>
      </c>
      <c r="K106" s="262">
        <f>ROUND(SUM(K107:K115),2)</f>
        <v>9293.69</v>
      </c>
      <c r="L106" s="78">
        <f t="shared" si="2"/>
        <v>48.09096709327652</v>
      </c>
    </row>
    <row r="107" spans="2:12" ht="12.75">
      <c r="B107" s="137">
        <v>4251</v>
      </c>
      <c r="C107" s="412" t="s">
        <v>1552</v>
      </c>
      <c r="D107" s="412"/>
      <c r="E107" s="412"/>
      <c r="F107" s="412"/>
      <c r="G107" s="412"/>
      <c r="H107" s="412"/>
      <c r="I107" s="138">
        <v>88</v>
      </c>
      <c r="J107" s="263">
        <v>1505.47</v>
      </c>
      <c r="K107" s="263">
        <v>1008.21</v>
      </c>
      <c r="L107" s="78">
        <f t="shared" si="2"/>
        <v>66.96978352275369</v>
      </c>
    </row>
    <row r="108" spans="2:12" ht="12.75">
      <c r="B108" s="137">
        <v>4252</v>
      </c>
      <c r="C108" s="412" t="s">
        <v>1553</v>
      </c>
      <c r="D108" s="412"/>
      <c r="E108" s="412"/>
      <c r="F108" s="412"/>
      <c r="G108" s="412"/>
      <c r="H108" s="412"/>
      <c r="I108" s="138">
        <v>89</v>
      </c>
      <c r="J108" s="263">
        <v>2049.11</v>
      </c>
      <c r="K108" s="263">
        <v>1848.65</v>
      </c>
      <c r="L108" s="78">
        <f t="shared" si="2"/>
        <v>90.21721625486187</v>
      </c>
    </row>
    <row r="109" spans="2:12" ht="12.75">
      <c r="B109" s="137">
        <v>4253</v>
      </c>
      <c r="C109" s="412" t="s">
        <v>1554</v>
      </c>
      <c r="D109" s="412"/>
      <c r="E109" s="412"/>
      <c r="F109" s="412"/>
      <c r="G109" s="412"/>
      <c r="H109" s="412"/>
      <c r="I109" s="138">
        <v>90</v>
      </c>
      <c r="J109" s="263"/>
      <c r="K109" s="263"/>
      <c r="L109" s="78" t="str">
        <f t="shared" si="2"/>
        <v>-</v>
      </c>
    </row>
    <row r="110" spans="2:12" ht="12.75">
      <c r="B110" s="137">
        <v>4254</v>
      </c>
      <c r="C110" s="412" t="s">
        <v>1555</v>
      </c>
      <c r="D110" s="412"/>
      <c r="E110" s="412"/>
      <c r="F110" s="412"/>
      <c r="G110" s="412"/>
      <c r="H110" s="412"/>
      <c r="I110" s="138">
        <v>91</v>
      </c>
      <c r="J110" s="263">
        <v>519.21</v>
      </c>
      <c r="K110" s="263">
        <v>303.72</v>
      </c>
      <c r="L110" s="78">
        <f t="shared" si="2"/>
        <v>58.496562084705616</v>
      </c>
    </row>
    <row r="111" spans="2:12" ht="12.75">
      <c r="B111" s="137">
        <v>4255</v>
      </c>
      <c r="C111" s="412" t="s">
        <v>1556</v>
      </c>
      <c r="D111" s="412"/>
      <c r="E111" s="412"/>
      <c r="F111" s="412"/>
      <c r="G111" s="412"/>
      <c r="H111" s="412"/>
      <c r="I111" s="138">
        <v>92</v>
      </c>
      <c r="J111" s="263">
        <v>821.95</v>
      </c>
      <c r="K111" s="263">
        <v>822.03</v>
      </c>
      <c r="L111" s="78">
        <f t="shared" si="2"/>
        <v>100.00973295212603</v>
      </c>
    </row>
    <row r="112" spans="2:12" ht="12.75">
      <c r="B112" s="137">
        <v>4256</v>
      </c>
      <c r="C112" s="412" t="s">
        <v>2001</v>
      </c>
      <c r="D112" s="412"/>
      <c r="E112" s="412"/>
      <c r="F112" s="412"/>
      <c r="G112" s="412"/>
      <c r="H112" s="412"/>
      <c r="I112" s="138">
        <v>93</v>
      </c>
      <c r="J112" s="263"/>
      <c r="K112" s="263"/>
      <c r="L112" s="78" t="str">
        <f t="shared" si="2"/>
        <v>-</v>
      </c>
    </row>
    <row r="113" spans="2:12" ht="12.75">
      <c r="B113" s="137">
        <v>4257</v>
      </c>
      <c r="C113" s="412" t="s">
        <v>2814</v>
      </c>
      <c r="D113" s="412"/>
      <c r="E113" s="412"/>
      <c r="F113" s="412"/>
      <c r="G113" s="412"/>
      <c r="H113" s="412"/>
      <c r="I113" s="138">
        <v>94</v>
      </c>
      <c r="J113" s="263"/>
      <c r="K113" s="263"/>
      <c r="L113" s="78" t="str">
        <f t="shared" si="2"/>
        <v>-</v>
      </c>
    </row>
    <row r="114" spans="2:12" ht="12.75">
      <c r="B114" s="137">
        <v>4258</v>
      </c>
      <c r="C114" s="412" t="s">
        <v>2002</v>
      </c>
      <c r="D114" s="412"/>
      <c r="E114" s="412"/>
      <c r="F114" s="412"/>
      <c r="G114" s="412"/>
      <c r="H114" s="412"/>
      <c r="I114" s="138">
        <v>95</v>
      </c>
      <c r="J114" s="263">
        <v>3185.35</v>
      </c>
      <c r="K114" s="263">
        <v>1990.8</v>
      </c>
      <c r="L114" s="78">
        <f t="shared" si="2"/>
        <v>62.49862652455774</v>
      </c>
    </row>
    <row r="115" spans="2:12" ht="12.75">
      <c r="B115" s="137">
        <v>4259</v>
      </c>
      <c r="C115" s="412" t="s">
        <v>2003</v>
      </c>
      <c r="D115" s="412"/>
      <c r="E115" s="412"/>
      <c r="F115" s="412"/>
      <c r="G115" s="412"/>
      <c r="H115" s="412"/>
      <c r="I115" s="138">
        <v>96</v>
      </c>
      <c r="J115" s="263">
        <v>11244.14</v>
      </c>
      <c r="K115" s="263">
        <v>3320.28</v>
      </c>
      <c r="L115" s="78">
        <f t="shared" si="2"/>
        <v>29.528981318268897</v>
      </c>
    </row>
    <row r="116" spans="2:12" ht="12.75" customHeight="1">
      <c r="B116" s="137">
        <v>426</v>
      </c>
      <c r="C116" s="412" t="s">
        <v>255</v>
      </c>
      <c r="D116" s="412"/>
      <c r="E116" s="412"/>
      <c r="F116" s="412"/>
      <c r="G116" s="412"/>
      <c r="H116" s="412"/>
      <c r="I116" s="138">
        <v>97</v>
      </c>
      <c r="J116" s="262">
        <f>ROUND(SUM(J117:J120),2)</f>
        <v>16667.87</v>
      </c>
      <c r="K116" s="262">
        <f>ROUND(SUM(K117:K120),2)</f>
        <v>11414.48</v>
      </c>
      <c r="L116" s="78">
        <f t="shared" si="2"/>
        <v>68.48193560424937</v>
      </c>
    </row>
    <row r="117" spans="2:12" ht="12.75">
      <c r="B117" s="137">
        <v>4261</v>
      </c>
      <c r="C117" s="412" t="s">
        <v>1300</v>
      </c>
      <c r="D117" s="412"/>
      <c r="E117" s="412"/>
      <c r="F117" s="412"/>
      <c r="G117" s="412"/>
      <c r="H117" s="412"/>
      <c r="I117" s="138">
        <v>98</v>
      </c>
      <c r="J117" s="263">
        <v>11161.46</v>
      </c>
      <c r="K117" s="263">
        <v>6966.57</v>
      </c>
      <c r="L117" s="78">
        <f t="shared" si="2"/>
        <v>62.416296792713496</v>
      </c>
    </row>
    <row r="118" spans="2:12" ht="12.75">
      <c r="B118" s="137">
        <v>4262</v>
      </c>
      <c r="C118" s="412" t="s">
        <v>1035</v>
      </c>
      <c r="D118" s="412"/>
      <c r="E118" s="412"/>
      <c r="F118" s="412"/>
      <c r="G118" s="412"/>
      <c r="H118" s="412"/>
      <c r="I118" s="138">
        <v>99</v>
      </c>
      <c r="J118" s="263"/>
      <c r="K118" s="263"/>
      <c r="L118" s="78" t="str">
        <f t="shared" si="2"/>
        <v>-</v>
      </c>
    </row>
    <row r="119" spans="2:12" ht="12.75">
      <c r="B119" s="137">
        <v>4263</v>
      </c>
      <c r="C119" s="412" t="s">
        <v>1036</v>
      </c>
      <c r="D119" s="412"/>
      <c r="E119" s="412"/>
      <c r="F119" s="412"/>
      <c r="G119" s="412"/>
      <c r="H119" s="412"/>
      <c r="I119" s="138">
        <v>100</v>
      </c>
      <c r="J119" s="263">
        <v>4926.94</v>
      </c>
      <c r="K119" s="263">
        <v>4389.49</v>
      </c>
      <c r="L119" s="78">
        <f t="shared" si="2"/>
        <v>89.0916065549814</v>
      </c>
    </row>
    <row r="120" spans="2:12" ht="12.75">
      <c r="B120" s="137">
        <v>4264</v>
      </c>
      <c r="C120" s="412" t="s">
        <v>998</v>
      </c>
      <c r="D120" s="412"/>
      <c r="E120" s="412"/>
      <c r="F120" s="412"/>
      <c r="G120" s="412"/>
      <c r="H120" s="412"/>
      <c r="I120" s="138">
        <v>101</v>
      </c>
      <c r="J120" s="263">
        <v>579.47</v>
      </c>
      <c r="K120" s="263">
        <v>58.42</v>
      </c>
      <c r="L120" s="78">
        <f t="shared" si="2"/>
        <v>10.08162631370045</v>
      </c>
    </row>
    <row r="121" spans="2:12" ht="12.75" customHeight="1">
      <c r="B121" s="137">
        <v>429</v>
      </c>
      <c r="C121" s="412" t="s">
        <v>3058</v>
      </c>
      <c r="D121" s="412"/>
      <c r="E121" s="412"/>
      <c r="F121" s="412"/>
      <c r="G121" s="412"/>
      <c r="H121" s="412"/>
      <c r="I121" s="138">
        <v>102</v>
      </c>
      <c r="J121" s="262">
        <f>ROUND(SUM(J122:J126),2)</f>
        <v>829.24</v>
      </c>
      <c r="K121" s="262">
        <f>ROUND(SUM(K122:K126),2)</f>
        <v>299.8</v>
      </c>
      <c r="L121" s="78">
        <f t="shared" si="2"/>
        <v>36.15358641647774</v>
      </c>
    </row>
    <row r="122" spans="2:12" ht="12.75">
      <c r="B122" s="137">
        <v>4291</v>
      </c>
      <c r="C122" s="412" t="s">
        <v>2815</v>
      </c>
      <c r="D122" s="412"/>
      <c r="E122" s="412"/>
      <c r="F122" s="412"/>
      <c r="G122" s="412"/>
      <c r="H122" s="412"/>
      <c r="I122" s="138">
        <v>103</v>
      </c>
      <c r="J122" s="263"/>
      <c r="K122" s="263"/>
      <c r="L122" s="78" t="str">
        <f t="shared" si="2"/>
        <v>-</v>
      </c>
    </row>
    <row r="123" spans="2:12" ht="12.75">
      <c r="B123" s="137">
        <v>4292</v>
      </c>
      <c r="C123" s="412" t="s">
        <v>2816</v>
      </c>
      <c r="D123" s="412"/>
      <c r="E123" s="412"/>
      <c r="F123" s="412"/>
      <c r="G123" s="412"/>
      <c r="H123" s="412"/>
      <c r="I123" s="138">
        <v>104</v>
      </c>
      <c r="J123" s="263">
        <v>630.16</v>
      </c>
      <c r="K123" s="263">
        <v>244.8</v>
      </c>
      <c r="L123" s="78">
        <f>IF(J123&gt;0,IF(K123/J123&gt;=100,"&gt;&gt;100",K123/J123*100),"-")</f>
        <v>38.847276882061706</v>
      </c>
    </row>
    <row r="124" spans="2:12" ht="12.75">
      <c r="B124" s="137">
        <v>4293</v>
      </c>
      <c r="C124" s="412" t="s">
        <v>2817</v>
      </c>
      <c r="D124" s="412"/>
      <c r="E124" s="412"/>
      <c r="F124" s="412"/>
      <c r="G124" s="412"/>
      <c r="H124" s="412"/>
      <c r="I124" s="138">
        <v>105</v>
      </c>
      <c r="J124" s="263">
        <v>53.08</v>
      </c>
      <c r="K124" s="263">
        <v>15</v>
      </c>
      <c r="L124" s="78">
        <f t="shared" si="2"/>
        <v>28.25923134890731</v>
      </c>
    </row>
    <row r="125" spans="2:12" ht="12.75">
      <c r="B125" s="137">
        <v>4294</v>
      </c>
      <c r="C125" s="412" t="s">
        <v>999</v>
      </c>
      <c r="D125" s="412"/>
      <c r="E125" s="412"/>
      <c r="F125" s="412"/>
      <c r="G125" s="412"/>
      <c r="H125" s="412"/>
      <c r="I125" s="138">
        <v>106</v>
      </c>
      <c r="J125" s="263">
        <v>146</v>
      </c>
      <c r="K125" s="263"/>
      <c r="L125" s="78">
        <f t="shared" si="2"/>
        <v>0</v>
      </c>
    </row>
    <row r="126" spans="2:12" ht="12.75">
      <c r="B126" s="137">
        <v>4295</v>
      </c>
      <c r="C126" s="412" t="s">
        <v>1000</v>
      </c>
      <c r="D126" s="412"/>
      <c r="E126" s="412"/>
      <c r="F126" s="412"/>
      <c r="G126" s="412"/>
      <c r="H126" s="412"/>
      <c r="I126" s="138">
        <v>107</v>
      </c>
      <c r="J126" s="263"/>
      <c r="K126" s="263">
        <v>40</v>
      </c>
      <c r="L126" s="78" t="str">
        <f t="shared" si="2"/>
        <v>-</v>
      </c>
    </row>
    <row r="127" spans="2:12" ht="12.75">
      <c r="B127" s="137">
        <v>43</v>
      </c>
      <c r="C127" s="412" t="s">
        <v>1001</v>
      </c>
      <c r="D127" s="412"/>
      <c r="E127" s="412"/>
      <c r="F127" s="412"/>
      <c r="G127" s="412"/>
      <c r="H127" s="412"/>
      <c r="I127" s="138">
        <v>108</v>
      </c>
      <c r="J127" s="263">
        <v>2571.5</v>
      </c>
      <c r="K127" s="263">
        <v>2571.5</v>
      </c>
      <c r="L127" s="78">
        <f>IF(J127&gt;0,IF(K127/J127&gt;=100,"&gt;&gt;100",K127/J127*100),"-")</f>
        <v>100</v>
      </c>
    </row>
    <row r="128" spans="2:12" ht="12.75" customHeight="1">
      <c r="B128" s="137">
        <v>44</v>
      </c>
      <c r="C128" s="412" t="s">
        <v>3059</v>
      </c>
      <c r="D128" s="412"/>
      <c r="E128" s="412"/>
      <c r="F128" s="412"/>
      <c r="G128" s="412"/>
      <c r="H128" s="412"/>
      <c r="I128" s="138">
        <v>109</v>
      </c>
      <c r="J128" s="262">
        <f>ROUND(J129+J130+J134,2)</f>
        <v>380.25</v>
      </c>
      <c r="K128" s="262">
        <f>ROUND(K129+K130+K134,2)</f>
        <v>306.83</v>
      </c>
      <c r="L128" s="78">
        <f t="shared" si="2"/>
        <v>80.69165023011176</v>
      </c>
    </row>
    <row r="129" spans="2:12" ht="12.75">
      <c r="B129" s="137">
        <v>441</v>
      </c>
      <c r="C129" s="412" t="s">
        <v>387</v>
      </c>
      <c r="D129" s="412"/>
      <c r="E129" s="412"/>
      <c r="F129" s="412"/>
      <c r="G129" s="412"/>
      <c r="H129" s="412"/>
      <c r="I129" s="138">
        <v>110</v>
      </c>
      <c r="J129" s="263"/>
      <c r="K129" s="263"/>
      <c r="L129" s="78" t="str">
        <f t="shared" si="2"/>
        <v>-</v>
      </c>
    </row>
    <row r="130" spans="2:12" ht="12.75" customHeight="1">
      <c r="B130" s="137">
        <v>442</v>
      </c>
      <c r="C130" s="412" t="s">
        <v>3060</v>
      </c>
      <c r="D130" s="412"/>
      <c r="E130" s="412"/>
      <c r="F130" s="412"/>
      <c r="G130" s="412"/>
      <c r="H130" s="412"/>
      <c r="I130" s="138">
        <v>111</v>
      </c>
      <c r="J130" s="262">
        <f>ROUND(SUM(J131:J133),2)</f>
        <v>0</v>
      </c>
      <c r="K130" s="262">
        <f>ROUND(SUM(K131:K133),2)</f>
        <v>0</v>
      </c>
      <c r="L130" s="78" t="str">
        <f t="shared" si="2"/>
        <v>-</v>
      </c>
    </row>
    <row r="131" spans="2:12" ht="12.75">
      <c r="B131" s="137">
        <v>4421</v>
      </c>
      <c r="C131" s="412" t="s">
        <v>2004</v>
      </c>
      <c r="D131" s="412"/>
      <c r="E131" s="412"/>
      <c r="F131" s="412"/>
      <c r="G131" s="412"/>
      <c r="H131" s="412"/>
      <c r="I131" s="138">
        <v>112</v>
      </c>
      <c r="J131" s="263"/>
      <c r="K131" s="263"/>
      <c r="L131" s="78" t="str">
        <f t="shared" si="2"/>
        <v>-</v>
      </c>
    </row>
    <row r="132" spans="2:12" ht="12.75">
      <c r="B132" s="137">
        <v>4422</v>
      </c>
      <c r="C132" s="412" t="s">
        <v>2005</v>
      </c>
      <c r="D132" s="412"/>
      <c r="E132" s="412"/>
      <c r="F132" s="412"/>
      <c r="G132" s="412"/>
      <c r="H132" s="412"/>
      <c r="I132" s="138">
        <v>113</v>
      </c>
      <c r="J132" s="263"/>
      <c r="K132" s="263"/>
      <c r="L132" s="78" t="str">
        <f t="shared" si="2"/>
        <v>-</v>
      </c>
    </row>
    <row r="133" spans="2:12" ht="12.75">
      <c r="B133" s="137">
        <v>4423</v>
      </c>
      <c r="C133" s="412" t="s">
        <v>2006</v>
      </c>
      <c r="D133" s="412"/>
      <c r="E133" s="412"/>
      <c r="F133" s="412"/>
      <c r="G133" s="412"/>
      <c r="H133" s="412"/>
      <c r="I133" s="138">
        <v>114</v>
      </c>
      <c r="J133" s="263"/>
      <c r="K133" s="263"/>
      <c r="L133" s="78" t="str">
        <f t="shared" si="2"/>
        <v>-</v>
      </c>
    </row>
    <row r="134" spans="2:12" ht="12.75" customHeight="1">
      <c r="B134" s="137">
        <v>443</v>
      </c>
      <c r="C134" s="412" t="s">
        <v>3061</v>
      </c>
      <c r="D134" s="412"/>
      <c r="E134" s="412"/>
      <c r="F134" s="412"/>
      <c r="G134" s="412"/>
      <c r="H134" s="412"/>
      <c r="I134" s="138">
        <v>115</v>
      </c>
      <c r="J134" s="262">
        <f>ROUND(SUM(J135:J138),2)</f>
        <v>380.25</v>
      </c>
      <c r="K134" s="262">
        <f>ROUND(SUM(K135:K138),2)</f>
        <v>306.83</v>
      </c>
      <c r="L134" s="78">
        <f t="shared" si="2"/>
        <v>80.69165023011176</v>
      </c>
    </row>
    <row r="135" spans="2:12" ht="12.75">
      <c r="B135" s="137">
        <v>4431</v>
      </c>
      <c r="C135" s="412" t="s">
        <v>2818</v>
      </c>
      <c r="D135" s="412"/>
      <c r="E135" s="412"/>
      <c r="F135" s="412"/>
      <c r="G135" s="412"/>
      <c r="H135" s="412"/>
      <c r="I135" s="138">
        <v>116</v>
      </c>
      <c r="J135" s="263">
        <v>380.25</v>
      </c>
      <c r="K135" s="263">
        <v>306.83</v>
      </c>
      <c r="L135" s="78">
        <f t="shared" si="2"/>
        <v>80.69165023011176</v>
      </c>
    </row>
    <row r="136" spans="2:12" ht="12.75">
      <c r="B136" s="137">
        <v>4432</v>
      </c>
      <c r="C136" s="412" t="s">
        <v>2007</v>
      </c>
      <c r="D136" s="412"/>
      <c r="E136" s="412"/>
      <c r="F136" s="412"/>
      <c r="G136" s="412"/>
      <c r="H136" s="412"/>
      <c r="I136" s="138">
        <v>117</v>
      </c>
      <c r="J136" s="263"/>
      <c r="K136" s="263"/>
      <c r="L136" s="78" t="str">
        <f t="shared" si="2"/>
        <v>-</v>
      </c>
    </row>
    <row r="137" spans="2:12" ht="12.75">
      <c r="B137" s="137">
        <v>4433</v>
      </c>
      <c r="C137" s="412" t="s">
        <v>2656</v>
      </c>
      <c r="D137" s="412"/>
      <c r="E137" s="412"/>
      <c r="F137" s="412"/>
      <c r="G137" s="412"/>
      <c r="H137" s="412"/>
      <c r="I137" s="138">
        <v>118</v>
      </c>
      <c r="J137" s="263"/>
      <c r="K137" s="263"/>
      <c r="L137" s="78" t="str">
        <f t="shared" si="2"/>
        <v>-</v>
      </c>
    </row>
    <row r="138" spans="2:12" ht="12.75">
      <c r="B138" s="137">
        <v>4434</v>
      </c>
      <c r="C138" s="412" t="s">
        <v>2657</v>
      </c>
      <c r="D138" s="412"/>
      <c r="E138" s="412"/>
      <c r="F138" s="412"/>
      <c r="G138" s="412"/>
      <c r="H138" s="412"/>
      <c r="I138" s="138">
        <v>119</v>
      </c>
      <c r="J138" s="263"/>
      <c r="K138" s="263"/>
      <c r="L138" s="78" t="str">
        <f t="shared" si="2"/>
        <v>-</v>
      </c>
    </row>
    <row r="139" spans="2:12" ht="12.75" customHeight="1">
      <c r="B139" s="137">
        <v>45</v>
      </c>
      <c r="C139" s="412" t="s">
        <v>3062</v>
      </c>
      <c r="D139" s="412"/>
      <c r="E139" s="412"/>
      <c r="F139" s="412"/>
      <c r="G139" s="412"/>
      <c r="H139" s="412"/>
      <c r="I139" s="138">
        <v>120</v>
      </c>
      <c r="J139" s="262">
        <f>ROUND(J140+J144,2)</f>
        <v>7271.86</v>
      </c>
      <c r="K139" s="262">
        <f>ROUND(K140+K144,2)</f>
        <v>116.36</v>
      </c>
      <c r="L139" s="78">
        <f t="shared" si="2"/>
        <v>1.6001408167924027</v>
      </c>
    </row>
    <row r="140" spans="2:12" ht="12.75" customHeight="1">
      <c r="B140" s="137">
        <v>451</v>
      </c>
      <c r="C140" s="412" t="s">
        <v>3063</v>
      </c>
      <c r="D140" s="412"/>
      <c r="E140" s="412"/>
      <c r="F140" s="412"/>
      <c r="G140" s="412"/>
      <c r="H140" s="412"/>
      <c r="I140" s="138">
        <v>121</v>
      </c>
      <c r="J140" s="262">
        <f>ROUND(SUM(J141:J143),2)</f>
        <v>7271.86</v>
      </c>
      <c r="K140" s="262">
        <f>ROUND(SUM(K141:K143),2)</f>
        <v>0</v>
      </c>
      <c r="L140" s="78">
        <f t="shared" si="2"/>
        <v>0</v>
      </c>
    </row>
    <row r="141" spans="2:12" ht="12.75">
      <c r="B141" s="137">
        <v>4511</v>
      </c>
      <c r="C141" s="412" t="s">
        <v>2658</v>
      </c>
      <c r="D141" s="412"/>
      <c r="E141" s="412"/>
      <c r="F141" s="412"/>
      <c r="G141" s="412"/>
      <c r="H141" s="412"/>
      <c r="I141" s="138">
        <v>122</v>
      </c>
      <c r="J141" s="263">
        <v>7271.86</v>
      </c>
      <c r="K141" s="263"/>
      <c r="L141" s="78">
        <f t="shared" si="2"/>
        <v>0</v>
      </c>
    </row>
    <row r="142" spans="2:12" ht="12.75">
      <c r="B142" s="137">
        <v>4512</v>
      </c>
      <c r="C142" s="412" t="s">
        <v>388</v>
      </c>
      <c r="D142" s="412"/>
      <c r="E142" s="412"/>
      <c r="F142" s="412"/>
      <c r="G142" s="412"/>
      <c r="H142" s="412"/>
      <c r="I142" s="138">
        <v>123</v>
      </c>
      <c r="J142" s="263"/>
      <c r="K142" s="263"/>
      <c r="L142" s="78" t="str">
        <f t="shared" si="2"/>
        <v>-</v>
      </c>
    </row>
    <row r="143" spans="2:12" ht="12.75">
      <c r="B143" s="137">
        <v>4513</v>
      </c>
      <c r="C143" s="412" t="s">
        <v>3064</v>
      </c>
      <c r="D143" s="412"/>
      <c r="E143" s="412"/>
      <c r="F143" s="412"/>
      <c r="G143" s="412"/>
      <c r="H143" s="412"/>
      <c r="I143" s="138">
        <v>124</v>
      </c>
      <c r="J143" s="263"/>
      <c r="K143" s="263"/>
      <c r="L143" s="78" t="str">
        <f>IF(J143&gt;0,IF(K143/J143&gt;=100,"&gt;&gt;100",K143/J143*100),"-")</f>
        <v>-</v>
      </c>
    </row>
    <row r="144" spans="2:12" ht="12.75" customHeight="1">
      <c r="B144" s="137">
        <v>452</v>
      </c>
      <c r="C144" s="412" t="s">
        <v>3066</v>
      </c>
      <c r="D144" s="412"/>
      <c r="E144" s="412"/>
      <c r="F144" s="412"/>
      <c r="G144" s="412"/>
      <c r="H144" s="412"/>
      <c r="I144" s="138">
        <v>125</v>
      </c>
      <c r="J144" s="262">
        <f>ROUND(J145+J146,2)</f>
        <v>0</v>
      </c>
      <c r="K144" s="262">
        <f>ROUND(K145+K146,2)</f>
        <v>116.36</v>
      </c>
      <c r="L144" s="78" t="str">
        <f t="shared" si="2"/>
        <v>-</v>
      </c>
    </row>
    <row r="145" spans="2:12" ht="12.75">
      <c r="B145" s="137">
        <v>4521</v>
      </c>
      <c r="C145" s="412" t="s">
        <v>389</v>
      </c>
      <c r="D145" s="412"/>
      <c r="E145" s="412"/>
      <c r="F145" s="412"/>
      <c r="G145" s="412"/>
      <c r="H145" s="412"/>
      <c r="I145" s="138">
        <v>126</v>
      </c>
      <c r="J145" s="263"/>
      <c r="K145" s="263">
        <v>116.36</v>
      </c>
      <c r="L145" s="78" t="str">
        <f>IF(J145&gt;0,IF(K145/J145&gt;=100,"&gt;&gt;100",K145/J145*100),"-")</f>
        <v>-</v>
      </c>
    </row>
    <row r="146" spans="2:12" ht="12.75">
      <c r="B146" s="137">
        <v>4522</v>
      </c>
      <c r="C146" s="412" t="s">
        <v>3065</v>
      </c>
      <c r="D146" s="412"/>
      <c r="E146" s="412"/>
      <c r="F146" s="412"/>
      <c r="G146" s="412"/>
      <c r="H146" s="412"/>
      <c r="I146" s="138">
        <v>127</v>
      </c>
      <c r="J146" s="263"/>
      <c r="K146" s="263"/>
      <c r="L146" s="78" t="str">
        <f>IF(J146&gt;0,IF(K146/J146&gt;=100,"&gt;&gt;100",K146/J146*100),"-")</f>
        <v>-</v>
      </c>
    </row>
    <row r="147" spans="2:12" ht="12.75" customHeight="1">
      <c r="B147" s="137">
        <v>46</v>
      </c>
      <c r="C147" s="412" t="s">
        <v>3067</v>
      </c>
      <c r="D147" s="412"/>
      <c r="E147" s="412"/>
      <c r="F147" s="412"/>
      <c r="G147" s="412"/>
      <c r="H147" s="412"/>
      <c r="I147" s="138">
        <v>128</v>
      </c>
      <c r="J147" s="262">
        <f>ROUND(J148+J153,2)</f>
        <v>0</v>
      </c>
      <c r="K147" s="262">
        <f>ROUND(K148+K153,2)</f>
        <v>0</v>
      </c>
      <c r="L147" s="78" t="str">
        <f t="shared" si="2"/>
        <v>-</v>
      </c>
    </row>
    <row r="148" spans="2:12" ht="12.75" customHeight="1">
      <c r="B148" s="137">
        <v>461</v>
      </c>
      <c r="C148" s="412" t="s">
        <v>3068</v>
      </c>
      <c r="D148" s="412"/>
      <c r="E148" s="412"/>
      <c r="F148" s="412"/>
      <c r="G148" s="412"/>
      <c r="H148" s="412"/>
      <c r="I148" s="138">
        <v>129</v>
      </c>
      <c r="J148" s="262">
        <f>ROUND(SUM(J149:J152),2)</f>
        <v>0</v>
      </c>
      <c r="K148" s="262">
        <f>ROUND(SUM(K149:K152),2)</f>
        <v>0</v>
      </c>
      <c r="L148" s="78" t="str">
        <f t="shared" si="2"/>
        <v>-</v>
      </c>
    </row>
    <row r="149" spans="2:12" ht="12.75">
      <c r="B149" s="137">
        <v>4611</v>
      </c>
      <c r="C149" s="412" t="s">
        <v>2659</v>
      </c>
      <c r="D149" s="412"/>
      <c r="E149" s="412"/>
      <c r="F149" s="412"/>
      <c r="G149" s="412"/>
      <c r="H149" s="412"/>
      <c r="I149" s="138">
        <v>130</v>
      </c>
      <c r="J149" s="263"/>
      <c r="K149" s="263"/>
      <c r="L149" s="78" t="str">
        <f t="shared" si="2"/>
        <v>-</v>
      </c>
    </row>
    <row r="150" spans="2:12" ht="12.75">
      <c r="B150" s="137">
        <v>4612</v>
      </c>
      <c r="C150" s="412" t="s">
        <v>2660</v>
      </c>
      <c r="D150" s="412"/>
      <c r="E150" s="412"/>
      <c r="F150" s="412"/>
      <c r="G150" s="412"/>
      <c r="H150" s="412"/>
      <c r="I150" s="138">
        <v>131</v>
      </c>
      <c r="J150" s="263"/>
      <c r="K150" s="263"/>
      <c r="L150" s="78" t="str">
        <f t="shared" si="2"/>
        <v>-</v>
      </c>
    </row>
    <row r="151" spans="2:12" ht="12.75">
      <c r="B151" s="137">
        <v>4613</v>
      </c>
      <c r="C151" s="412" t="s">
        <v>390</v>
      </c>
      <c r="D151" s="412"/>
      <c r="E151" s="412"/>
      <c r="F151" s="412"/>
      <c r="G151" s="412"/>
      <c r="H151" s="412"/>
      <c r="I151" s="138">
        <v>132</v>
      </c>
      <c r="J151" s="263"/>
      <c r="K151" s="263"/>
      <c r="L151" s="78" t="str">
        <f t="shared" si="2"/>
        <v>-</v>
      </c>
    </row>
    <row r="152" spans="2:12" ht="12.75">
      <c r="B152" s="137">
        <v>4614</v>
      </c>
      <c r="C152" s="412" t="s">
        <v>2661</v>
      </c>
      <c r="D152" s="412"/>
      <c r="E152" s="412"/>
      <c r="F152" s="412"/>
      <c r="G152" s="412"/>
      <c r="H152" s="412"/>
      <c r="I152" s="138">
        <v>133</v>
      </c>
      <c r="J152" s="263"/>
      <c r="K152" s="263"/>
      <c r="L152" s="78" t="str">
        <f t="shared" si="2"/>
        <v>-</v>
      </c>
    </row>
    <row r="153" spans="2:12" ht="12.75" customHeight="1">
      <c r="B153" s="137">
        <v>462</v>
      </c>
      <c r="C153" s="412" t="s">
        <v>3069</v>
      </c>
      <c r="D153" s="412"/>
      <c r="E153" s="412"/>
      <c r="F153" s="412"/>
      <c r="G153" s="412"/>
      <c r="H153" s="412"/>
      <c r="I153" s="138">
        <v>134</v>
      </c>
      <c r="J153" s="262">
        <f>ROUND(SUM(J154:J157),2)</f>
        <v>0</v>
      </c>
      <c r="K153" s="262">
        <f>ROUND(SUM(K154:K157),2)</f>
        <v>0</v>
      </c>
      <c r="L153" s="78" t="str">
        <f t="shared" si="2"/>
        <v>-</v>
      </c>
    </row>
    <row r="154" spans="2:12" ht="12.75">
      <c r="B154" s="137">
        <v>4621</v>
      </c>
      <c r="C154" s="412" t="s">
        <v>833</v>
      </c>
      <c r="D154" s="412"/>
      <c r="E154" s="412"/>
      <c r="F154" s="412"/>
      <c r="G154" s="412"/>
      <c r="H154" s="412"/>
      <c r="I154" s="138">
        <v>135</v>
      </c>
      <c r="J154" s="263"/>
      <c r="K154" s="263"/>
      <c r="L154" s="78" t="str">
        <f t="shared" si="2"/>
        <v>-</v>
      </c>
    </row>
    <row r="155" spans="2:12" ht="12.75">
      <c r="B155" s="137">
        <v>4622</v>
      </c>
      <c r="C155" s="412" t="s">
        <v>834</v>
      </c>
      <c r="D155" s="412"/>
      <c r="E155" s="412"/>
      <c r="F155" s="412"/>
      <c r="G155" s="412"/>
      <c r="H155" s="412"/>
      <c r="I155" s="138">
        <v>136</v>
      </c>
      <c r="J155" s="263"/>
      <c r="K155" s="263"/>
      <c r="L155" s="78" t="str">
        <f>IF(J155&gt;0,IF(K155/J155&gt;=100,"&gt;&gt;100",K155/J155*100),"-")</f>
        <v>-</v>
      </c>
    </row>
    <row r="156" spans="2:12" ht="12.75">
      <c r="B156" s="137">
        <v>4623</v>
      </c>
      <c r="C156" s="412" t="s">
        <v>391</v>
      </c>
      <c r="D156" s="412"/>
      <c r="E156" s="412"/>
      <c r="F156" s="412"/>
      <c r="G156" s="412"/>
      <c r="H156" s="412"/>
      <c r="I156" s="138">
        <v>137</v>
      </c>
      <c r="J156" s="263"/>
      <c r="K156" s="263"/>
      <c r="L156" s="78" t="str">
        <f>IF(J156&gt;0,IF(K156/J156&gt;=100,"&gt;&gt;100",K156/J156*100),"-")</f>
        <v>-</v>
      </c>
    </row>
    <row r="157" spans="2:12" ht="12.75">
      <c r="B157" s="137">
        <v>4624</v>
      </c>
      <c r="C157" s="412" t="s">
        <v>835</v>
      </c>
      <c r="D157" s="412"/>
      <c r="E157" s="412"/>
      <c r="F157" s="412"/>
      <c r="G157" s="412"/>
      <c r="H157" s="412"/>
      <c r="I157" s="138">
        <v>138</v>
      </c>
      <c r="J157" s="263"/>
      <c r="K157" s="263"/>
      <c r="L157" s="78" t="str">
        <f>IF(J157&gt;0,IF(K157/J157&gt;=100,"&gt;&gt;100",K157/J157*100),"-")</f>
        <v>-</v>
      </c>
    </row>
    <row r="158" spans="2:12" ht="12.75" customHeight="1">
      <c r="B158" s="137">
        <v>47</v>
      </c>
      <c r="C158" s="412" t="s">
        <v>3070</v>
      </c>
      <c r="D158" s="412"/>
      <c r="E158" s="412"/>
      <c r="F158" s="412"/>
      <c r="G158" s="412"/>
      <c r="H158" s="412"/>
      <c r="I158" s="138">
        <v>139</v>
      </c>
      <c r="J158" s="262">
        <f>ROUND(SUM(J159:J162),2)</f>
        <v>0</v>
      </c>
      <c r="K158" s="262">
        <f>ROUND(SUM(K159:K162),2)</f>
        <v>0</v>
      </c>
      <c r="L158" s="78" t="str">
        <f>IF(J158&gt;0,IF(K158/J158&gt;=100,"&gt;&gt;100",K158/J158*100),"-")</f>
        <v>-</v>
      </c>
    </row>
    <row r="159" spans="2:12" ht="12.75" customHeight="1">
      <c r="B159" s="137">
        <v>4711</v>
      </c>
      <c r="C159" s="412" t="s">
        <v>315</v>
      </c>
      <c r="D159" s="412"/>
      <c r="E159" s="412"/>
      <c r="F159" s="412"/>
      <c r="G159" s="412"/>
      <c r="H159" s="412"/>
      <c r="I159" s="138">
        <v>140</v>
      </c>
      <c r="J159" s="263"/>
      <c r="K159" s="263"/>
      <c r="L159" s="78" t="str">
        <f t="shared" si="2"/>
        <v>-</v>
      </c>
    </row>
    <row r="160" spans="2:12" ht="12.75" customHeight="1">
      <c r="B160" s="137">
        <v>4712</v>
      </c>
      <c r="C160" s="412" t="s">
        <v>316</v>
      </c>
      <c r="D160" s="412"/>
      <c r="E160" s="412"/>
      <c r="F160" s="412"/>
      <c r="G160" s="412"/>
      <c r="H160" s="412"/>
      <c r="I160" s="138">
        <v>141</v>
      </c>
      <c r="J160" s="263"/>
      <c r="K160" s="263"/>
      <c r="L160" s="78" t="str">
        <f t="shared" si="2"/>
        <v>-</v>
      </c>
    </row>
    <row r="161" spans="2:12" ht="12.75" customHeight="1">
      <c r="B161" s="137">
        <v>4713</v>
      </c>
      <c r="C161" s="412" t="s">
        <v>1607</v>
      </c>
      <c r="D161" s="412"/>
      <c r="E161" s="412"/>
      <c r="F161" s="412"/>
      <c r="G161" s="412"/>
      <c r="H161" s="412"/>
      <c r="I161" s="138">
        <v>142</v>
      </c>
      <c r="J161" s="263"/>
      <c r="K161" s="263"/>
      <c r="L161" s="78" t="str">
        <f>IF(J161&gt;0,IF(K161/J161&gt;=100,"&gt;&gt;100",K161/J161*100),"-")</f>
        <v>-</v>
      </c>
    </row>
    <row r="162" spans="2:12" ht="12.75" customHeight="1">
      <c r="B162" s="137">
        <v>4714</v>
      </c>
      <c r="C162" s="412" t="s">
        <v>1608</v>
      </c>
      <c r="D162" s="412"/>
      <c r="E162" s="412"/>
      <c r="F162" s="412"/>
      <c r="G162" s="412"/>
      <c r="H162" s="412"/>
      <c r="I162" s="138">
        <v>143</v>
      </c>
      <c r="J162" s="263"/>
      <c r="K162" s="263"/>
      <c r="L162" s="78" t="str">
        <f>IF(J162&gt;0,IF(K162/J162&gt;=100,"&gt;&gt;100",K162/J162*100),"-")</f>
        <v>-</v>
      </c>
    </row>
    <row r="163" spans="2:12" ht="12.75">
      <c r="B163" s="137"/>
      <c r="C163" s="412" t="s">
        <v>2238</v>
      </c>
      <c r="D163" s="412"/>
      <c r="E163" s="412"/>
      <c r="F163" s="412"/>
      <c r="G163" s="412"/>
      <c r="H163" s="412"/>
      <c r="I163" s="138">
        <v>144</v>
      </c>
      <c r="J163" s="263"/>
      <c r="K163" s="263"/>
      <c r="L163" s="78" t="str">
        <f t="shared" si="2"/>
        <v>-</v>
      </c>
    </row>
    <row r="164" spans="2:12" ht="12.75">
      <c r="B164" s="137"/>
      <c r="C164" s="412" t="s">
        <v>2239</v>
      </c>
      <c r="D164" s="412"/>
      <c r="E164" s="412"/>
      <c r="F164" s="412"/>
      <c r="G164" s="412"/>
      <c r="H164" s="412"/>
      <c r="I164" s="138">
        <v>145</v>
      </c>
      <c r="J164" s="263"/>
      <c r="K164" s="263"/>
      <c r="L164" s="78" t="str">
        <f t="shared" si="2"/>
        <v>-</v>
      </c>
    </row>
    <row r="165" spans="2:12" ht="12.75" customHeight="1">
      <c r="B165" s="137"/>
      <c r="C165" s="412" t="s">
        <v>1609</v>
      </c>
      <c r="D165" s="412"/>
      <c r="E165" s="412"/>
      <c r="F165" s="412"/>
      <c r="G165" s="412"/>
      <c r="H165" s="412"/>
      <c r="I165" s="138">
        <v>146</v>
      </c>
      <c r="J165" s="262">
        <f>ROUND(IF(J164&gt;=J163,J164-J163,0),2)</f>
        <v>0</v>
      </c>
      <c r="K165" s="262">
        <f>ROUND(IF(K164&gt;=K163,K164-K163,0),2)</f>
        <v>0</v>
      </c>
      <c r="L165" s="78" t="str">
        <f t="shared" si="2"/>
        <v>-</v>
      </c>
    </row>
    <row r="166" spans="2:12" ht="12.75" customHeight="1">
      <c r="B166" s="137"/>
      <c r="C166" s="412" t="s">
        <v>1610</v>
      </c>
      <c r="D166" s="412"/>
      <c r="E166" s="412"/>
      <c r="F166" s="412"/>
      <c r="G166" s="412"/>
      <c r="H166" s="412"/>
      <c r="I166" s="138">
        <v>147</v>
      </c>
      <c r="J166" s="262">
        <f>ROUND(IF(J163&gt;=J164,J163-J164,0),2)</f>
        <v>0</v>
      </c>
      <c r="K166" s="262">
        <f>ROUND(IF(K163&gt;=K164,K163-K164,0),2)</f>
        <v>0</v>
      </c>
      <c r="L166" s="78" t="str">
        <f t="shared" si="2"/>
        <v>-</v>
      </c>
    </row>
    <row r="167" spans="2:12" ht="12.75" customHeight="1">
      <c r="B167" s="137"/>
      <c r="C167" s="412" t="s">
        <v>1611</v>
      </c>
      <c r="D167" s="412"/>
      <c r="E167" s="412"/>
      <c r="F167" s="412"/>
      <c r="G167" s="412"/>
      <c r="H167" s="412"/>
      <c r="I167" s="138">
        <v>148</v>
      </c>
      <c r="J167" s="262">
        <f>ROUND(J73-J165+J166,2)</f>
        <v>126342.39</v>
      </c>
      <c r="K167" s="262">
        <f>ROUND(K73-K165+K166,2)</f>
        <v>75905.16</v>
      </c>
      <c r="L167" s="78">
        <f t="shared" si="2"/>
        <v>60.07893312766998</v>
      </c>
    </row>
    <row r="168" spans="2:12" ht="12.75" customHeight="1">
      <c r="B168" s="137"/>
      <c r="C168" s="412" t="s">
        <v>1612</v>
      </c>
      <c r="D168" s="412"/>
      <c r="E168" s="412"/>
      <c r="F168" s="412"/>
      <c r="G168" s="412"/>
      <c r="H168" s="412"/>
      <c r="I168" s="138">
        <v>149</v>
      </c>
      <c r="J168" s="262">
        <f>ROUND(IF(J19&gt;=J167,J19-J167,0),2)</f>
        <v>0</v>
      </c>
      <c r="K168" s="262">
        <f>ROUND(IF(K19&gt;=K167,K19-K167,0),2)</f>
        <v>37803.49</v>
      </c>
      <c r="L168" s="78" t="str">
        <f t="shared" si="2"/>
        <v>-</v>
      </c>
    </row>
    <row r="169" spans="2:12" ht="12.75" customHeight="1">
      <c r="B169" s="137"/>
      <c r="C169" s="412" t="s">
        <v>1613</v>
      </c>
      <c r="D169" s="412"/>
      <c r="E169" s="412"/>
      <c r="F169" s="412"/>
      <c r="G169" s="412"/>
      <c r="H169" s="412"/>
      <c r="I169" s="138">
        <v>150</v>
      </c>
      <c r="J169" s="262">
        <f>ROUND(IF(J167&gt;=J19,J167-J19,0),2)</f>
        <v>52282.8</v>
      </c>
      <c r="K169" s="262">
        <f>ROUND(IF(K167&gt;=K19,K167-K19,0),2)</f>
        <v>0</v>
      </c>
      <c r="L169" s="78">
        <f t="shared" si="2"/>
        <v>0</v>
      </c>
    </row>
    <row r="170" spans="2:12" ht="12.75">
      <c r="B170" s="137">
        <v>5221</v>
      </c>
      <c r="C170" s="412" t="s">
        <v>836</v>
      </c>
      <c r="D170" s="412"/>
      <c r="E170" s="412"/>
      <c r="F170" s="412"/>
      <c r="G170" s="412"/>
      <c r="H170" s="412"/>
      <c r="I170" s="138">
        <v>151</v>
      </c>
      <c r="J170" s="263">
        <v>80835.15</v>
      </c>
      <c r="K170" s="263">
        <v>28552.35</v>
      </c>
      <c r="L170" s="78">
        <f t="shared" si="2"/>
        <v>35.32170101744106</v>
      </c>
    </row>
    <row r="171" spans="2:12" ht="12.75">
      <c r="B171" s="137">
        <v>5222</v>
      </c>
      <c r="C171" s="412" t="s">
        <v>392</v>
      </c>
      <c r="D171" s="412"/>
      <c r="E171" s="412"/>
      <c r="F171" s="412"/>
      <c r="G171" s="412"/>
      <c r="H171" s="412"/>
      <c r="I171" s="138">
        <v>152</v>
      </c>
      <c r="J171" s="263"/>
      <c r="K171" s="263">
        <v>0</v>
      </c>
      <c r="L171" s="78" t="str">
        <f t="shared" si="2"/>
        <v>-</v>
      </c>
    </row>
    <row r="172" spans="2:12" ht="12.75">
      <c r="B172" s="137"/>
      <c r="C172" s="412" t="s">
        <v>366</v>
      </c>
      <c r="D172" s="412"/>
      <c r="E172" s="412"/>
      <c r="F172" s="412"/>
      <c r="G172" s="412"/>
      <c r="H172" s="412"/>
      <c r="I172" s="138">
        <v>153</v>
      </c>
      <c r="J172" s="263"/>
      <c r="K172" s="263"/>
      <c r="L172" s="78" t="str">
        <f>IF(J172&gt;0,IF(K172/J172&gt;=100,"&gt;&gt;100",K172/J172*100),"-")</f>
        <v>-</v>
      </c>
    </row>
    <row r="173" spans="2:12" ht="12.75" customHeight="1">
      <c r="B173" s="137"/>
      <c r="C173" s="412" t="s">
        <v>1614</v>
      </c>
      <c r="D173" s="412"/>
      <c r="E173" s="412"/>
      <c r="F173" s="412"/>
      <c r="G173" s="412"/>
      <c r="H173" s="412"/>
      <c r="I173" s="138">
        <v>154</v>
      </c>
      <c r="J173" s="262">
        <f>ROUND(IF(J168+J170-J169-J171-J172&gt;=0,J168+J170-J169-J171-J172,0),2)</f>
        <v>28552.35</v>
      </c>
      <c r="K173" s="262">
        <f>ROUND(IF(K168+K170-K169-K171-K172&gt;=0,K168+K170-K169-K171-K172,0),2)</f>
        <v>66355.84</v>
      </c>
      <c r="L173" s="78">
        <f t="shared" si="2"/>
        <v>232.40062551768946</v>
      </c>
    </row>
    <row r="174" spans="2:12" ht="12.75" customHeight="1">
      <c r="B174" s="139"/>
      <c r="C174" s="412" t="s">
        <v>2445</v>
      </c>
      <c r="D174" s="412"/>
      <c r="E174" s="412"/>
      <c r="F174" s="412"/>
      <c r="G174" s="412"/>
      <c r="H174" s="412"/>
      <c r="I174" s="138">
        <v>155</v>
      </c>
      <c r="J174" s="265">
        <f>ROUND(IF(J169+J171-J168-J170+J172&gt;=0,J169+J171-J168-J170+J172,0),2)</f>
        <v>0</v>
      </c>
      <c r="K174" s="265">
        <f>ROUND(IF(K169+K171-K168-K170+K172&gt;=0,K169+K171-K168-K170+K172,0),2)</f>
        <v>0</v>
      </c>
      <c r="L174" s="79" t="str">
        <f>IF(J174&gt;0,IF(K174/J174&gt;=100,"&gt;&gt;100",K174/J174*100),"-")</f>
        <v>-</v>
      </c>
    </row>
    <row r="175" spans="2:12" ht="12.75">
      <c r="B175" s="461" t="s">
        <v>2244</v>
      </c>
      <c r="C175" s="462"/>
      <c r="D175" s="462"/>
      <c r="E175" s="462"/>
      <c r="F175" s="462"/>
      <c r="G175" s="462"/>
      <c r="H175" s="462"/>
      <c r="I175" s="462"/>
      <c r="J175" s="462"/>
      <c r="K175" s="462"/>
      <c r="L175" s="463"/>
    </row>
    <row r="176" spans="2:12" ht="12.75">
      <c r="B176" s="135">
        <v>11</v>
      </c>
      <c r="C176" s="446" t="s">
        <v>837</v>
      </c>
      <c r="D176" s="446"/>
      <c r="E176" s="446"/>
      <c r="F176" s="446"/>
      <c r="G176" s="446"/>
      <c r="H176" s="446"/>
      <c r="I176" s="136">
        <v>156</v>
      </c>
      <c r="J176" s="266">
        <v>79068.02</v>
      </c>
      <c r="K176" s="266">
        <v>26836.29</v>
      </c>
      <c r="L176" s="77">
        <f aca="true" t="shared" si="3" ref="L176:L181">IF(J176&gt;0,IF(K176/J176&gt;=100,"&gt;&gt;100",K176/J176*100),"-")</f>
        <v>33.94076391441192</v>
      </c>
    </row>
    <row r="177" spans="2:12" ht="12.75">
      <c r="B177" s="141" t="s">
        <v>838</v>
      </c>
      <c r="C177" s="412" t="s">
        <v>2416</v>
      </c>
      <c r="D177" s="412"/>
      <c r="E177" s="412"/>
      <c r="F177" s="412"/>
      <c r="G177" s="412"/>
      <c r="H177" s="412"/>
      <c r="I177" s="138">
        <v>157</v>
      </c>
      <c r="J177" s="263">
        <v>113271.62</v>
      </c>
      <c r="K177" s="263">
        <v>136090.75</v>
      </c>
      <c r="L177" s="78">
        <f t="shared" si="3"/>
        <v>120.14549628583046</v>
      </c>
    </row>
    <row r="178" spans="2:12" ht="12.75">
      <c r="B178" s="141" t="s">
        <v>1310</v>
      </c>
      <c r="C178" s="412" t="s">
        <v>1311</v>
      </c>
      <c r="D178" s="412"/>
      <c r="E178" s="412"/>
      <c r="F178" s="412"/>
      <c r="G178" s="412"/>
      <c r="H178" s="412"/>
      <c r="I178" s="138">
        <v>158</v>
      </c>
      <c r="J178" s="263">
        <v>165503.35</v>
      </c>
      <c r="K178" s="263">
        <v>94518.24</v>
      </c>
      <c r="L178" s="78">
        <f t="shared" si="3"/>
        <v>57.10956303905631</v>
      </c>
    </row>
    <row r="179" spans="2:12" ht="12.75" customHeight="1">
      <c r="B179" s="137">
        <v>11</v>
      </c>
      <c r="C179" s="408" t="s">
        <v>2446</v>
      </c>
      <c r="D179" s="408"/>
      <c r="E179" s="408"/>
      <c r="F179" s="408"/>
      <c r="G179" s="408"/>
      <c r="H179" s="409"/>
      <c r="I179" s="138">
        <v>159</v>
      </c>
      <c r="J179" s="262">
        <f>ROUND(J176+J177-J178,2)</f>
        <v>26836.29</v>
      </c>
      <c r="K179" s="262">
        <f>ROUND(K176+K177-K178,2)</f>
        <v>68408.8</v>
      </c>
      <c r="L179" s="78">
        <f t="shared" si="3"/>
        <v>254.91153956079623</v>
      </c>
    </row>
    <row r="180" spans="2:12" ht="12.75">
      <c r="B180" s="267"/>
      <c r="C180" s="479" t="s">
        <v>393</v>
      </c>
      <c r="D180" s="479"/>
      <c r="E180" s="479"/>
      <c r="F180" s="479"/>
      <c r="G180" s="479"/>
      <c r="H180" s="479"/>
      <c r="I180" s="268">
        <v>160</v>
      </c>
      <c r="J180" s="269">
        <v>4</v>
      </c>
      <c r="K180" s="269">
        <v>3</v>
      </c>
      <c r="L180" s="270">
        <f t="shared" si="3"/>
        <v>75</v>
      </c>
    </row>
    <row r="181" spans="2:12" ht="12.75">
      <c r="B181" s="267"/>
      <c r="C181" s="479" t="s">
        <v>394</v>
      </c>
      <c r="D181" s="479"/>
      <c r="E181" s="479"/>
      <c r="F181" s="479"/>
      <c r="G181" s="479"/>
      <c r="H181" s="479"/>
      <c r="I181" s="268">
        <v>161</v>
      </c>
      <c r="J181" s="269">
        <v>4</v>
      </c>
      <c r="K181" s="269">
        <v>3</v>
      </c>
      <c r="L181" s="270">
        <f t="shared" si="3"/>
        <v>75</v>
      </c>
    </row>
    <row r="182" spans="2:12" ht="12.75">
      <c r="B182" s="267"/>
      <c r="C182" s="479" t="s">
        <v>2300</v>
      </c>
      <c r="D182" s="479"/>
      <c r="E182" s="479"/>
      <c r="F182" s="479"/>
      <c r="G182" s="479"/>
      <c r="H182" s="479"/>
      <c r="I182" s="268">
        <v>162</v>
      </c>
      <c r="J182" s="269">
        <v>3</v>
      </c>
      <c r="K182" s="269">
        <v>7</v>
      </c>
      <c r="L182" s="270">
        <f>IF(J182&gt;0,IF(K182/J182&gt;=100,"&gt;&gt;100",K182/J182*100),"-")</f>
        <v>233.33333333333334</v>
      </c>
    </row>
    <row r="183" spans="2:12" ht="12.75">
      <c r="B183" s="271"/>
      <c r="C183" s="478" t="s">
        <v>2301</v>
      </c>
      <c r="D183" s="478"/>
      <c r="E183" s="478"/>
      <c r="F183" s="478"/>
      <c r="G183" s="478"/>
      <c r="H183" s="478"/>
      <c r="I183" s="272">
        <v>163</v>
      </c>
      <c r="J183" s="273">
        <v>600</v>
      </c>
      <c r="K183" s="273">
        <v>1080</v>
      </c>
      <c r="L183" s="274">
        <f>IF(J183&gt;0,IF(K183/J183&gt;=100,"&gt;&gt;100",K183/J183*100),"-")</f>
        <v>180</v>
      </c>
    </row>
    <row r="184" spans="2:12" ht="12.75">
      <c r="B184" s="419" t="s">
        <v>395</v>
      </c>
      <c r="C184" s="420"/>
      <c r="D184" s="420"/>
      <c r="E184" s="420"/>
      <c r="F184" s="420"/>
      <c r="G184" s="420"/>
      <c r="H184" s="421"/>
      <c r="I184" s="417" t="s">
        <v>2233</v>
      </c>
      <c r="J184" s="417" t="s">
        <v>396</v>
      </c>
      <c r="K184" s="432"/>
      <c r="L184" s="433" t="s">
        <v>1734</v>
      </c>
    </row>
    <row r="185" spans="2:12" ht="22.5">
      <c r="B185" s="422"/>
      <c r="C185" s="423"/>
      <c r="D185" s="423"/>
      <c r="E185" s="423"/>
      <c r="F185" s="423"/>
      <c r="G185" s="423"/>
      <c r="H185" s="424"/>
      <c r="I185" s="418"/>
      <c r="J185" s="80" t="s">
        <v>397</v>
      </c>
      <c r="K185" s="81" t="s">
        <v>398</v>
      </c>
      <c r="L185" s="434"/>
    </row>
    <row r="186" spans="2:12" ht="12.75">
      <c r="B186" s="135" t="s">
        <v>1626</v>
      </c>
      <c r="C186" s="446" t="s">
        <v>399</v>
      </c>
      <c r="D186" s="446"/>
      <c r="E186" s="446"/>
      <c r="F186" s="446"/>
      <c r="G186" s="446"/>
      <c r="H186" s="446"/>
      <c r="I186" s="136">
        <v>164</v>
      </c>
      <c r="J186" s="266"/>
      <c r="K186" s="266"/>
      <c r="L186" s="77" t="str">
        <f aca="true" t="shared" si="4" ref="L186:L194">IF(J186&gt;0,IF(K186/J186&gt;=100,"&gt;&gt;100",K186/J186*100),"-")</f>
        <v>-</v>
      </c>
    </row>
    <row r="187" spans="2:12" ht="12.75">
      <c r="B187" s="137" t="s">
        <v>1627</v>
      </c>
      <c r="C187" s="412" t="s">
        <v>400</v>
      </c>
      <c r="D187" s="412"/>
      <c r="E187" s="412"/>
      <c r="F187" s="412"/>
      <c r="G187" s="412"/>
      <c r="H187" s="412"/>
      <c r="I187" s="138">
        <v>165</v>
      </c>
      <c r="J187" s="263"/>
      <c r="K187" s="263"/>
      <c r="L187" s="78" t="str">
        <f t="shared" si="4"/>
        <v>-</v>
      </c>
    </row>
    <row r="188" spans="2:12" ht="12.75">
      <c r="B188" s="137" t="s">
        <v>1628</v>
      </c>
      <c r="C188" s="412" t="s">
        <v>401</v>
      </c>
      <c r="D188" s="412"/>
      <c r="E188" s="412"/>
      <c r="F188" s="412"/>
      <c r="G188" s="412"/>
      <c r="H188" s="412"/>
      <c r="I188" s="138">
        <v>166</v>
      </c>
      <c r="J188" s="263"/>
      <c r="K188" s="263"/>
      <c r="L188" s="78" t="str">
        <f t="shared" si="4"/>
        <v>-</v>
      </c>
    </row>
    <row r="189" spans="2:12" ht="12.75">
      <c r="B189" s="137" t="s">
        <v>1629</v>
      </c>
      <c r="C189" s="412" t="s">
        <v>402</v>
      </c>
      <c r="D189" s="412"/>
      <c r="E189" s="412"/>
      <c r="F189" s="412"/>
      <c r="G189" s="412"/>
      <c r="H189" s="412"/>
      <c r="I189" s="138">
        <v>167</v>
      </c>
      <c r="J189" s="263"/>
      <c r="K189" s="263"/>
      <c r="L189" s="78" t="str">
        <f t="shared" si="4"/>
        <v>-</v>
      </c>
    </row>
    <row r="190" spans="2:12" ht="12.75">
      <c r="B190" s="137" t="s">
        <v>1630</v>
      </c>
      <c r="C190" s="412" t="s">
        <v>403</v>
      </c>
      <c r="D190" s="412"/>
      <c r="E190" s="412"/>
      <c r="F190" s="412"/>
      <c r="G190" s="412"/>
      <c r="H190" s="412"/>
      <c r="I190" s="138">
        <v>168</v>
      </c>
      <c r="J190" s="263"/>
      <c r="K190" s="263"/>
      <c r="L190" s="78" t="str">
        <f t="shared" si="4"/>
        <v>-</v>
      </c>
    </row>
    <row r="191" spans="2:12" ht="12.75">
      <c r="B191" s="139" t="s">
        <v>1631</v>
      </c>
      <c r="C191" s="445" t="s">
        <v>404</v>
      </c>
      <c r="D191" s="445"/>
      <c r="E191" s="445"/>
      <c r="F191" s="445"/>
      <c r="G191" s="445"/>
      <c r="H191" s="445"/>
      <c r="I191" s="140">
        <v>169</v>
      </c>
      <c r="J191" s="264"/>
      <c r="K191" s="264"/>
      <c r="L191" s="79" t="str">
        <f t="shared" si="4"/>
        <v>-</v>
      </c>
    </row>
    <row r="192" spans="2:12" ht="33.75">
      <c r="B192" s="448" t="s">
        <v>2326</v>
      </c>
      <c r="C192" s="449"/>
      <c r="D192" s="449"/>
      <c r="E192" s="449"/>
      <c r="F192" s="449"/>
      <c r="G192" s="449"/>
      <c r="H192" s="450"/>
      <c r="I192" s="82" t="s">
        <v>2233</v>
      </c>
      <c r="J192" s="83" t="s">
        <v>1731</v>
      </c>
      <c r="K192" s="84" t="s">
        <v>1732</v>
      </c>
      <c r="L192" s="85" t="s">
        <v>1734</v>
      </c>
    </row>
    <row r="193" spans="2:12" ht="12.75">
      <c r="B193" s="135"/>
      <c r="C193" s="446" t="s">
        <v>1733</v>
      </c>
      <c r="D193" s="446"/>
      <c r="E193" s="446"/>
      <c r="F193" s="446"/>
      <c r="G193" s="446"/>
      <c r="H193" s="446"/>
      <c r="I193" s="136">
        <v>170</v>
      </c>
      <c r="J193" s="266"/>
      <c r="K193" s="266"/>
      <c r="L193" s="77" t="str">
        <f t="shared" si="4"/>
        <v>-</v>
      </c>
    </row>
    <row r="194" spans="2:12" ht="12.75" customHeight="1">
      <c r="B194" s="139"/>
      <c r="C194" s="436" t="s">
        <v>1309</v>
      </c>
      <c r="D194" s="437"/>
      <c r="E194" s="437"/>
      <c r="F194" s="437"/>
      <c r="G194" s="437"/>
      <c r="H194" s="438"/>
      <c r="I194" s="140">
        <v>171</v>
      </c>
      <c r="J194" s="265">
        <f>ROUND(SUM(J180:J183,J186:J191,J193),2)</f>
        <v>611</v>
      </c>
      <c r="K194" s="265">
        <f>ROUND(SUM(K180:K183,K186:K191,K193),2)</f>
        <v>1093</v>
      </c>
      <c r="L194" s="79">
        <f t="shared" si="4"/>
        <v>178.88707037643206</v>
      </c>
    </row>
    <row r="195" s="114" customFormat="1" ht="14.25"/>
    <row r="196" spans="2:12" s="114" customFormat="1" ht="14.25">
      <c r="B196" s="439"/>
      <c r="C196" s="439"/>
      <c r="D196" s="439"/>
      <c r="E196" s="444"/>
      <c r="F196" s="444"/>
      <c r="G196" s="444"/>
      <c r="H196" s="444"/>
      <c r="I196" s="115"/>
      <c r="J196" s="416" t="s">
        <v>2896</v>
      </c>
      <c r="K196" s="416"/>
      <c r="L196" s="416"/>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35" t="str">
        <f>IF(RefStr!N4=1,IF(RefStr!D39&lt;&gt;"",RefStr!D39,""),"")</f>
        <v>IVA JOVOVIĆ</v>
      </c>
      <c r="E198" s="435"/>
      <c r="F198" s="435"/>
      <c r="G198" s="435"/>
      <c r="H198" s="435"/>
      <c r="I198" s="156"/>
      <c r="J198" s="431"/>
      <c r="K198" s="431"/>
      <c r="L198" s="431"/>
    </row>
    <row r="199" spans="2:12" s="114" customFormat="1" ht="15" thickBot="1">
      <c r="B199" s="441" t="s">
        <v>2317</v>
      </c>
      <c r="C199" s="441"/>
      <c r="D199" s="200" t="str">
        <f>IF(RefStr!N4=1,IF(RefStr!D41&lt;&gt;"",RefStr!D41,""),"")</f>
        <v>12.02.2024.</v>
      </c>
      <c r="E199" s="159"/>
      <c r="F199" s="159"/>
      <c r="G199" s="159"/>
      <c r="H199" s="160"/>
      <c r="I199" s="161"/>
      <c r="J199" s="161"/>
      <c r="K199" s="162"/>
      <c r="L199" s="161"/>
    </row>
    <row r="200" spans="2:12" s="114" customFormat="1" ht="15" thickBot="1">
      <c r="B200" s="447" t="s">
        <v>1902</v>
      </c>
      <c r="C200" s="447"/>
      <c r="D200" s="155" t="str">
        <f>IF(RefStr!N4=1,IF(RefStr!D43&lt;&gt;"",RefStr!D43,""),"")</f>
        <v>MIRA DRAGOSAVAC M.</v>
      </c>
      <c r="E200" s="155"/>
      <c r="F200" s="155"/>
      <c r="G200" s="155"/>
      <c r="H200" s="154"/>
      <c r="I200" s="154"/>
      <c r="J200" s="154"/>
      <c r="K200" s="154"/>
      <c r="L200" s="154"/>
    </row>
    <row r="201" spans="2:12" s="114" customFormat="1" ht="15" thickBot="1">
      <c r="B201" s="441" t="s">
        <v>1903</v>
      </c>
      <c r="C201" s="441"/>
      <c r="D201" s="442" t="str">
        <f>IF(RefStr!N4=1,IF(RefStr!D45&lt;&gt;"",RefStr!D45,""),"")</f>
        <v>01/3632349</v>
      </c>
      <c r="E201" s="442"/>
      <c r="F201" s="154"/>
      <c r="G201" s="163"/>
      <c r="H201" s="163"/>
      <c r="I201" s="163"/>
      <c r="J201" s="163"/>
      <c r="K201" s="163"/>
      <c r="L201" s="163"/>
    </row>
    <row r="202" spans="2:12" s="114" customFormat="1" ht="15" thickBot="1">
      <c r="B202" s="441" t="s">
        <v>1482</v>
      </c>
      <c r="C202" s="441"/>
      <c r="D202" s="443" t="str">
        <f>IF(RefStr!N4=1,IF(RefStr!D47&lt;&gt;"",RefStr!D47,""),"")</f>
        <v>01/3632349</v>
      </c>
      <c r="E202" s="443"/>
      <c r="F202" s="164"/>
      <c r="G202" s="164"/>
      <c r="H202" s="164"/>
      <c r="I202" s="164"/>
      <c r="J202" s="164"/>
      <c r="K202" s="163"/>
      <c r="L202" s="163"/>
    </row>
    <row r="203" spans="2:12" s="114" customFormat="1" ht="15" thickBot="1">
      <c r="B203" s="441" t="s">
        <v>1904</v>
      </c>
      <c r="C203" s="441"/>
      <c r="D203" s="440" t="str">
        <f>IF(RefStr!N4=1,IF(RefStr!D49&lt;&gt;"",RefStr!D49,""),"")</f>
        <v>let@udruga-let.hr</v>
      </c>
      <c r="E203" s="440"/>
      <c r="F203" s="440"/>
      <c r="G203" s="440"/>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70:H170"/>
    <mergeCell ref="C172:H172"/>
    <mergeCell ref="C171:H171"/>
    <mergeCell ref="C173:H173"/>
    <mergeCell ref="C166:H166"/>
    <mergeCell ref="C167:H167"/>
    <mergeCell ref="C168:H168"/>
    <mergeCell ref="C169:H169"/>
    <mergeCell ref="C177:H177"/>
    <mergeCell ref="C178:H178"/>
    <mergeCell ref="B175:L175"/>
    <mergeCell ref="C176:H176"/>
    <mergeCell ref="C183:H183"/>
    <mergeCell ref="C180:H180"/>
    <mergeCell ref="C181:H181"/>
    <mergeCell ref="C179:H179"/>
    <mergeCell ref="C182:H182"/>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38:H138"/>
    <mergeCell ref="C139:H139"/>
    <mergeCell ref="C147:H147"/>
    <mergeCell ref="C148:H148"/>
    <mergeCell ref="C149:H149"/>
    <mergeCell ref="C140:H140"/>
    <mergeCell ref="C146:H146"/>
    <mergeCell ref="C132:H132"/>
    <mergeCell ref="C133:H133"/>
    <mergeCell ref="C124:H124"/>
    <mergeCell ref="C136:H136"/>
    <mergeCell ref="C137:H137"/>
    <mergeCell ref="C125:H125"/>
    <mergeCell ref="C126:H126"/>
    <mergeCell ref="C127:H127"/>
    <mergeCell ref="C130:H130"/>
    <mergeCell ref="C150:H150"/>
    <mergeCell ref="C108:H108"/>
    <mergeCell ref="C122:H122"/>
    <mergeCell ref="C121:H121"/>
    <mergeCell ref="C111:H111"/>
    <mergeCell ref="C128:H128"/>
    <mergeCell ref="C131:H131"/>
    <mergeCell ref="C119:H119"/>
    <mergeCell ref="C120:H120"/>
    <mergeCell ref="C129:H129"/>
    <mergeCell ref="C54:H54"/>
    <mergeCell ref="C38:H38"/>
    <mergeCell ref="C53:H53"/>
    <mergeCell ref="C48:H48"/>
    <mergeCell ref="C51:H51"/>
    <mergeCell ref="C52:H52"/>
    <mergeCell ref="C46:H46"/>
    <mergeCell ref="C47:H47"/>
    <mergeCell ref="C44:H44"/>
    <mergeCell ref="B15:D15"/>
    <mergeCell ref="C28:H28"/>
    <mergeCell ref="C29:H29"/>
    <mergeCell ref="C19:H19"/>
    <mergeCell ref="C20:H20"/>
    <mergeCell ref="C21:H21"/>
    <mergeCell ref="C22:H22"/>
    <mergeCell ref="C23:H23"/>
    <mergeCell ref="C24:H24"/>
    <mergeCell ref="C17:H17"/>
    <mergeCell ref="B18:L18"/>
    <mergeCell ref="C26:H26"/>
    <mergeCell ref="C34:H34"/>
    <mergeCell ref="C31:H31"/>
    <mergeCell ref="C32:H32"/>
    <mergeCell ref="C33:H33"/>
    <mergeCell ref="C30:H30"/>
    <mergeCell ref="C74:H74"/>
    <mergeCell ref="C39:H39"/>
    <mergeCell ref="C92:H92"/>
    <mergeCell ref="C93:H93"/>
    <mergeCell ref="C35:H35"/>
    <mergeCell ref="C36:H36"/>
    <mergeCell ref="C37:H37"/>
    <mergeCell ref="C68:H68"/>
    <mergeCell ref="C59:H59"/>
    <mergeCell ref="C55:H55"/>
    <mergeCell ref="C16:H16"/>
    <mergeCell ref="C43:H43"/>
    <mergeCell ref="C25:H25"/>
    <mergeCell ref="C110:H110"/>
    <mergeCell ref="C91:H91"/>
    <mergeCell ref="C67:H67"/>
    <mergeCell ref="C84:H84"/>
    <mergeCell ref="C75:H75"/>
    <mergeCell ref="C87:H87"/>
    <mergeCell ref="C88:H88"/>
    <mergeCell ref="C96:H96"/>
    <mergeCell ref="C97:H97"/>
    <mergeCell ref="C98:H98"/>
    <mergeCell ref="I13:J13"/>
    <mergeCell ref="C27:H27"/>
    <mergeCell ref="C45:H45"/>
    <mergeCell ref="C40:H40"/>
    <mergeCell ref="C41:H41"/>
    <mergeCell ref="C95:H95"/>
    <mergeCell ref="C69:H69"/>
    <mergeCell ref="C162:H162"/>
    <mergeCell ref="C143:H143"/>
    <mergeCell ref="C145:H145"/>
    <mergeCell ref="C104:H104"/>
    <mergeCell ref="C123:H123"/>
    <mergeCell ref="C112:H112"/>
    <mergeCell ref="C109:H109"/>
    <mergeCell ref="C105:H105"/>
    <mergeCell ref="C106:H106"/>
    <mergeCell ref="C107:H107"/>
    <mergeCell ref="C100:H100"/>
    <mergeCell ref="K2:L2"/>
    <mergeCell ref="B4:L4"/>
    <mergeCell ref="B5:L5"/>
    <mergeCell ref="B6:L6"/>
    <mergeCell ref="B3:C3"/>
    <mergeCell ref="K3:L3"/>
    <mergeCell ref="C86:H86"/>
    <mergeCell ref="B72:L72"/>
    <mergeCell ref="C80:H80"/>
    <mergeCell ref="C118:H118"/>
    <mergeCell ref="B202:C202"/>
    <mergeCell ref="B201:C201"/>
    <mergeCell ref="C193:H193"/>
    <mergeCell ref="B200:C200"/>
    <mergeCell ref="B10:C10"/>
    <mergeCell ref="B192:H192"/>
    <mergeCell ref="C186:H186"/>
    <mergeCell ref="C187:H187"/>
    <mergeCell ref="C188:H188"/>
    <mergeCell ref="D203:G203"/>
    <mergeCell ref="B203:C203"/>
    <mergeCell ref="D201:E201"/>
    <mergeCell ref="D202:E202"/>
    <mergeCell ref="C189:H189"/>
    <mergeCell ref="B199:C199"/>
    <mergeCell ref="E196:H196"/>
    <mergeCell ref="C191:H191"/>
    <mergeCell ref="C94:H94"/>
    <mergeCell ref="C76:H76"/>
    <mergeCell ref="C77:H77"/>
    <mergeCell ref="C78:H78"/>
    <mergeCell ref="C89:H89"/>
    <mergeCell ref="C90:H90"/>
    <mergeCell ref="C103:H103"/>
    <mergeCell ref="J198:L198"/>
    <mergeCell ref="J184:K184"/>
    <mergeCell ref="L184:L185"/>
    <mergeCell ref="D198:H198"/>
    <mergeCell ref="C194:H194"/>
    <mergeCell ref="B196:D196"/>
    <mergeCell ref="C113:H113"/>
    <mergeCell ref="C116:H116"/>
    <mergeCell ref="C117:H117"/>
    <mergeCell ref="J196:L196"/>
    <mergeCell ref="I184:I185"/>
    <mergeCell ref="B184:H185"/>
    <mergeCell ref="B7:C7"/>
    <mergeCell ref="D7:L7"/>
    <mergeCell ref="B8:C8"/>
    <mergeCell ref="G8:L8"/>
    <mergeCell ref="D10:F10"/>
    <mergeCell ref="B9:C9"/>
    <mergeCell ref="C190:H190"/>
    <mergeCell ref="C64:H64"/>
    <mergeCell ref="C101:H101"/>
    <mergeCell ref="C102:H102"/>
    <mergeCell ref="C81:H81"/>
    <mergeCell ref="C85:H85"/>
    <mergeCell ref="C83:H83"/>
    <mergeCell ref="C99:H99"/>
    <mergeCell ref="C82:H82"/>
    <mergeCell ref="C73:H73"/>
    <mergeCell ref="C79:H79"/>
    <mergeCell ref="K12:L12"/>
    <mergeCell ref="C114:H114"/>
    <mergeCell ref="C115:H115"/>
    <mergeCell ref="C58:H58"/>
    <mergeCell ref="C65:H65"/>
    <mergeCell ref="C66:H66"/>
    <mergeCell ref="C60:H60"/>
    <mergeCell ref="C61:H61"/>
    <mergeCell ref="C62:H62"/>
    <mergeCell ref="C63:H63"/>
    <mergeCell ref="C56:H56"/>
    <mergeCell ref="C57:H57"/>
    <mergeCell ref="C70:H70"/>
    <mergeCell ref="C71:H71"/>
    <mergeCell ref="D9:L9"/>
    <mergeCell ref="B11:C11"/>
    <mergeCell ref="B12:C12"/>
    <mergeCell ref="C49:H49"/>
    <mergeCell ref="C50:H50"/>
    <mergeCell ref="C42:H42"/>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E1" sqref="E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51"/>
      <c r="L2" s="451"/>
    </row>
    <row r="3" spans="2:12" s="27" customFormat="1" ht="30" customHeight="1" thickBot="1">
      <c r="B3" s="457" t="s">
        <v>2908</v>
      </c>
      <c r="C3" s="458"/>
      <c r="D3" s="128"/>
      <c r="E3" s="128"/>
      <c r="F3" s="104"/>
      <c r="G3" s="104"/>
      <c r="H3" s="104"/>
      <c r="I3" s="104"/>
      <c r="J3" s="104"/>
      <c r="K3" s="459" t="s">
        <v>1302</v>
      </c>
      <c r="L3" s="460"/>
    </row>
    <row r="4" spans="2:12" s="27" customFormat="1" ht="30" customHeight="1">
      <c r="B4" s="452" t="s">
        <v>2155</v>
      </c>
      <c r="C4" s="453"/>
      <c r="D4" s="453"/>
      <c r="E4" s="453"/>
      <c r="F4" s="453"/>
      <c r="G4" s="453"/>
      <c r="H4" s="453"/>
      <c r="I4" s="453"/>
      <c r="J4" s="453"/>
      <c r="K4" s="453"/>
      <c r="L4" s="453"/>
    </row>
    <row r="5" spans="2:12" s="27" customFormat="1" ht="7.5" customHeight="1">
      <c r="B5" s="454"/>
      <c r="C5" s="455"/>
      <c r="D5" s="455"/>
      <c r="E5" s="455"/>
      <c r="F5" s="455"/>
      <c r="G5" s="455"/>
      <c r="H5" s="455"/>
      <c r="I5" s="455"/>
      <c r="J5" s="455"/>
      <c r="K5" s="455"/>
      <c r="L5" s="455"/>
    </row>
    <row r="6" spans="2:16" s="30" customFormat="1" ht="19.5" customHeight="1">
      <c r="B6" s="456" t="str">
        <f>IF(OR(RefStr!J15="",RefStr!J19=""),P7,IF(RefStr!O4=1,"Stanje na dan: "&amp;TEXT(RefStr!G5,"dd.MM.YYYY."),P6))</f>
        <v>Stanje na dan: 31.12.2023.</v>
      </c>
      <c r="C6" s="455"/>
      <c r="D6" s="455"/>
      <c r="E6" s="455"/>
      <c r="F6" s="455"/>
      <c r="G6" s="455"/>
      <c r="H6" s="455"/>
      <c r="I6" s="455"/>
      <c r="J6" s="455"/>
      <c r="K6" s="455"/>
      <c r="L6" s="455"/>
      <c r="P6" s="241" t="s">
        <v>2118</v>
      </c>
    </row>
    <row r="7" spans="2:16" ht="18" customHeight="1" thickBot="1">
      <c r="B7" s="406" t="s">
        <v>1143</v>
      </c>
      <c r="C7" s="425"/>
      <c r="D7" s="426" t="str">
        <f>IF(RefStr!O4=1,IF(RefStr!C7&lt;&gt;"",RefStr!C7,""),"")</f>
        <v>UDRUGA LET</v>
      </c>
      <c r="E7" s="427"/>
      <c r="F7" s="427"/>
      <c r="G7" s="427"/>
      <c r="H7" s="427"/>
      <c r="I7" s="427"/>
      <c r="J7" s="427"/>
      <c r="K7" s="427"/>
      <c r="L7" s="427"/>
      <c r="P7" s="27" t="s">
        <v>2862</v>
      </c>
    </row>
    <row r="8" spans="2:12" ht="18" customHeight="1" thickBot="1">
      <c r="B8" s="406" t="s">
        <v>2232</v>
      </c>
      <c r="C8" s="406"/>
      <c r="D8" s="208">
        <f>IF(RefStr!O4=1,IF(RefStr!C9&lt;&gt;"",RefStr!C9,""),"")</f>
        <v>10000</v>
      </c>
      <c r="E8" s="117"/>
      <c r="F8" s="124" t="s">
        <v>2140</v>
      </c>
      <c r="G8" s="403" t="str">
        <f>IF(RefStr!O4=1,IF(RefStr!E9&lt;&gt;"",RefStr!E9,""),"")</f>
        <v>ZAGREB</v>
      </c>
      <c r="H8" s="428"/>
      <c r="I8" s="428"/>
      <c r="J8" s="428"/>
      <c r="K8" s="428"/>
      <c r="L8" s="428"/>
    </row>
    <row r="9" spans="2:12" ht="18" customHeight="1" thickBot="1">
      <c r="B9" s="406" t="s">
        <v>2235</v>
      </c>
      <c r="C9" s="406"/>
      <c r="D9" s="403" t="str">
        <f>IF(RefStr!O4=1,IF(RefStr!C11&lt;&gt;"",RefStr!C11,""),"")</f>
        <v>RATARSKA 7</v>
      </c>
      <c r="E9" s="403"/>
      <c r="F9" s="403"/>
      <c r="G9" s="403"/>
      <c r="H9" s="403"/>
      <c r="I9" s="403"/>
      <c r="J9" s="403"/>
      <c r="K9" s="403"/>
      <c r="L9" s="403"/>
    </row>
    <row r="10" spans="2:12" ht="18" customHeight="1" thickBot="1">
      <c r="B10" s="406" t="s">
        <v>1032</v>
      </c>
      <c r="C10" s="406" t="s">
        <v>2303</v>
      </c>
      <c r="D10" s="429">
        <f>IF(RefStr!O4=1,IF(RefStr!C13&lt;&gt;"",RefStr!C13,""),"")</f>
      </c>
      <c r="E10" s="430"/>
      <c r="F10" s="430"/>
      <c r="G10" s="118"/>
      <c r="H10" s="118"/>
      <c r="I10" s="132"/>
      <c r="J10" s="124" t="s">
        <v>2138</v>
      </c>
      <c r="K10" s="204">
        <f>IF(RefStr!O4=1,IF(RefStr!J9&lt;&gt;"",RefStr!J9,""),"")</f>
        <v>81264</v>
      </c>
      <c r="L10" s="132"/>
    </row>
    <row r="11" spans="2:12" ht="18" customHeight="1" thickBot="1">
      <c r="B11" s="404" t="s">
        <v>2237</v>
      </c>
      <c r="C11" s="405"/>
      <c r="D11" s="116" t="str">
        <f>IF(RefStr!O4=1,IF(RefStr!C15&lt;&gt;"",RefStr!C15,""),"")</f>
        <v>9499</v>
      </c>
      <c r="E11" s="209" t="str">
        <f>IF(RefStr!D15&lt;&gt;"",RefStr!D15,"")</f>
        <v>Djelatnosti ostalih članskih organizacija, d. n.</v>
      </c>
      <c r="F11" s="119"/>
      <c r="G11" s="132"/>
      <c r="H11" s="132"/>
      <c r="I11" s="133"/>
      <c r="J11" s="186" t="s">
        <v>716</v>
      </c>
      <c r="K11" s="203" t="str">
        <f>IF(RefStr!O4=1,IF(RefStr!J11&lt;&gt;"",RefStr!J11,""),"")</f>
        <v>01692569</v>
      </c>
      <c r="L11" s="132"/>
    </row>
    <row r="12" spans="2:12" ht="18" customHeight="1" thickBot="1">
      <c r="B12" s="406" t="s">
        <v>2305</v>
      </c>
      <c r="C12" s="405"/>
      <c r="D12" s="120">
        <f>IF(RefStr!O4=1,IF(RefStr!C17&lt;&gt;"",RefStr!C17,""),"")</f>
        <v>133</v>
      </c>
      <c r="E12" s="210" t="str">
        <f>IF(RefStr!D17&lt;&gt;"",RefStr!D17,"")</f>
        <v>Grad/općina: GRAD ZAGREB</v>
      </c>
      <c r="F12" s="121"/>
      <c r="G12" s="118"/>
      <c r="H12" s="118"/>
      <c r="I12" s="122"/>
      <c r="J12" s="186" t="s">
        <v>2139</v>
      </c>
      <c r="K12" s="410">
        <f>IF(RefStr!O4=1,IF(RefStr!J13&lt;&gt;"",RefStr!J13,""),"")</f>
        <v>80621111596</v>
      </c>
      <c r="L12" s="411"/>
    </row>
    <row r="13" spans="2:12" ht="18" customHeight="1" thickBot="1">
      <c r="B13" s="132"/>
      <c r="C13" s="123"/>
      <c r="D13" s="239"/>
      <c r="E13" s="240"/>
      <c r="F13" s="240"/>
      <c r="G13" s="240"/>
      <c r="H13" s="240"/>
      <c r="I13" s="404" t="s">
        <v>2304</v>
      </c>
      <c r="J13" s="405"/>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21</v>
      </c>
      <c r="L14" s="125"/>
    </row>
    <row r="15" spans="2:16" s="27" customFormat="1" ht="15" customHeight="1">
      <c r="B15" s="470" t="str">
        <f>"Verzija Excel datoteke: "&amp;MID(PraviPod707!G30,1,1)&amp;"."&amp;MID(PraviPod707!G30,2,1)&amp;"."&amp;MID(PraviPod707!G30,3,1)&amp;"."</f>
        <v>Verzija Excel datoteke: 6.0.6.</v>
      </c>
      <c r="C15" s="471"/>
      <c r="D15" s="471"/>
      <c r="E15" s="103"/>
      <c r="F15" s="37"/>
      <c r="G15" s="40"/>
      <c r="H15" s="40"/>
      <c r="I15" s="41"/>
      <c r="J15" s="41"/>
      <c r="K15" s="38"/>
      <c r="L15" s="275" t="s">
        <v>1475</v>
      </c>
      <c r="P15" s="29"/>
    </row>
    <row r="16" spans="2:12" s="27" customFormat="1" ht="34.5" customHeight="1">
      <c r="B16" s="86" t="s">
        <v>1495</v>
      </c>
      <c r="C16" s="464" t="s">
        <v>2234</v>
      </c>
      <c r="D16" s="464"/>
      <c r="E16" s="464"/>
      <c r="F16" s="464"/>
      <c r="G16" s="465"/>
      <c r="H16" s="465"/>
      <c r="I16" s="82" t="s">
        <v>2233</v>
      </c>
      <c r="J16" s="83" t="s">
        <v>1731</v>
      </c>
      <c r="K16" s="84" t="s">
        <v>2307</v>
      </c>
      <c r="L16" s="85" t="s">
        <v>1991</v>
      </c>
    </row>
    <row r="17" spans="2:12" s="27" customFormat="1" ht="12" customHeight="1">
      <c r="B17" s="71">
        <v>1</v>
      </c>
      <c r="C17" s="475">
        <v>2</v>
      </c>
      <c r="D17" s="476"/>
      <c r="E17" s="476"/>
      <c r="F17" s="476"/>
      <c r="G17" s="476"/>
      <c r="H17" s="476"/>
      <c r="I17" s="72">
        <v>3</v>
      </c>
      <c r="J17" s="72">
        <v>4</v>
      </c>
      <c r="K17" s="71">
        <v>5</v>
      </c>
      <c r="L17" s="71">
        <v>6</v>
      </c>
    </row>
    <row r="18" spans="2:12" s="27" customFormat="1" ht="15" customHeight="1">
      <c r="B18" s="461" t="s">
        <v>2156</v>
      </c>
      <c r="C18" s="462"/>
      <c r="D18" s="462"/>
      <c r="E18" s="462"/>
      <c r="F18" s="462"/>
      <c r="G18" s="462"/>
      <c r="H18" s="462"/>
      <c r="I18" s="462"/>
      <c r="J18" s="462"/>
      <c r="K18" s="462"/>
      <c r="L18" s="463"/>
    </row>
    <row r="19" spans="2:12" ht="14.25">
      <c r="B19" s="142"/>
      <c r="C19" s="493" t="s">
        <v>2308</v>
      </c>
      <c r="D19" s="494"/>
      <c r="E19" s="494"/>
      <c r="F19" s="494"/>
      <c r="G19" s="494"/>
      <c r="H19" s="494"/>
      <c r="I19" s="143">
        <v>1</v>
      </c>
      <c r="J19" s="261">
        <f>ROUND(J20+J92,2)</f>
        <v>32618.62</v>
      </c>
      <c r="K19" s="261">
        <f>ROUND(K20+K92,2)</f>
        <v>71619.69</v>
      </c>
      <c r="L19" s="130">
        <f aca="true" t="shared" si="0" ref="L19:L50">IF(J19&gt;0,IF(K19/J19&gt;=100,"&gt;&gt;100",K19/J19*100),"-")</f>
        <v>219.56689154844688</v>
      </c>
    </row>
    <row r="20" spans="2:12" ht="14.25">
      <c r="B20" s="144">
        <v>0</v>
      </c>
      <c r="C20" s="487" t="s">
        <v>2157</v>
      </c>
      <c r="D20" s="488"/>
      <c r="E20" s="488"/>
      <c r="F20" s="488"/>
      <c r="G20" s="488"/>
      <c r="H20" s="488"/>
      <c r="I20" s="145">
        <v>2</v>
      </c>
      <c r="J20" s="294">
        <f>ROUND(J21+J36+J65+J69+J73+J82,2)</f>
        <v>5782.33</v>
      </c>
      <c r="K20" s="294">
        <f>ROUND(K21+K36+K65+K69+K73+K82,2)</f>
        <v>3210.89</v>
      </c>
      <c r="L20" s="146">
        <f t="shared" si="0"/>
        <v>55.52934543687407</v>
      </c>
    </row>
    <row r="21" spans="2:12" ht="14.25">
      <c r="B21" s="144" t="s">
        <v>2158</v>
      </c>
      <c r="C21" s="487" t="s">
        <v>2329</v>
      </c>
      <c r="D21" s="488"/>
      <c r="E21" s="488"/>
      <c r="F21" s="488"/>
      <c r="G21" s="488"/>
      <c r="H21" s="488"/>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c r="K23" s="300"/>
      <c r="L23" s="146" t="str">
        <f t="shared" si="0"/>
        <v>-</v>
      </c>
    </row>
    <row r="24" spans="2:12" ht="14.25">
      <c r="B24" s="147" t="s">
        <v>223</v>
      </c>
      <c r="C24" s="480" t="s">
        <v>2333</v>
      </c>
      <c r="D24" s="481"/>
      <c r="E24" s="481"/>
      <c r="F24" s="481"/>
      <c r="G24" s="481"/>
      <c r="H24" s="481"/>
      <c r="I24" s="145">
        <v>6</v>
      </c>
      <c r="J24" s="299"/>
      <c r="K24" s="300"/>
      <c r="L24" s="146" t="str">
        <f t="shared" si="0"/>
        <v>-</v>
      </c>
    </row>
    <row r="25" spans="2:12" ht="14.25">
      <c r="B25" s="147" t="s">
        <v>225</v>
      </c>
      <c r="C25" s="480" t="s">
        <v>2334</v>
      </c>
      <c r="D25" s="481"/>
      <c r="E25" s="481"/>
      <c r="F25" s="481"/>
      <c r="G25" s="481"/>
      <c r="H25" s="481"/>
      <c r="I25" s="145">
        <v>7</v>
      </c>
      <c r="J25" s="299"/>
      <c r="K25" s="300"/>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c r="K27" s="300"/>
      <c r="L27" s="146" t="str">
        <f t="shared" si="0"/>
        <v>-</v>
      </c>
    </row>
    <row r="28" spans="2:12" ht="14.25">
      <c r="B28" s="147" t="s">
        <v>2017</v>
      </c>
      <c r="C28" s="480" t="s">
        <v>2338</v>
      </c>
      <c r="D28" s="481"/>
      <c r="E28" s="481"/>
      <c r="F28" s="481"/>
      <c r="G28" s="481"/>
      <c r="H28" s="481"/>
      <c r="I28" s="145">
        <v>10</v>
      </c>
      <c r="J28" s="299"/>
      <c r="K28" s="300"/>
      <c r="L28" s="146" t="str">
        <f t="shared" si="0"/>
        <v>-</v>
      </c>
    </row>
    <row r="29" spans="2:12" ht="14.25">
      <c r="B29" s="147" t="s">
        <v>2019</v>
      </c>
      <c r="C29" s="480" t="s">
        <v>2339</v>
      </c>
      <c r="D29" s="481"/>
      <c r="E29" s="481"/>
      <c r="F29" s="481"/>
      <c r="G29" s="481"/>
      <c r="H29" s="481"/>
      <c r="I29" s="145">
        <v>11</v>
      </c>
      <c r="J29" s="299"/>
      <c r="K29" s="300"/>
      <c r="L29" s="146" t="str">
        <f t="shared" si="0"/>
        <v>-</v>
      </c>
    </row>
    <row r="30" spans="2:12" ht="14.25">
      <c r="B30" s="147" t="s">
        <v>2021</v>
      </c>
      <c r="C30" s="480" t="s">
        <v>2340</v>
      </c>
      <c r="D30" s="481"/>
      <c r="E30" s="481"/>
      <c r="F30" s="481"/>
      <c r="G30" s="481"/>
      <c r="H30" s="481"/>
      <c r="I30" s="145">
        <v>12</v>
      </c>
      <c r="J30" s="299"/>
      <c r="K30" s="300"/>
      <c r="L30" s="146" t="str">
        <f t="shared" si="0"/>
        <v>-</v>
      </c>
    </row>
    <row r="31" spans="2:12" ht="14.25">
      <c r="B31" s="147" t="s">
        <v>2023</v>
      </c>
      <c r="C31" s="480" t="s">
        <v>2341</v>
      </c>
      <c r="D31" s="481"/>
      <c r="E31" s="481"/>
      <c r="F31" s="481"/>
      <c r="G31" s="481"/>
      <c r="H31" s="481"/>
      <c r="I31" s="145">
        <v>13</v>
      </c>
      <c r="J31" s="299"/>
      <c r="K31" s="300"/>
      <c r="L31" s="146" t="str">
        <f t="shared" si="0"/>
        <v>-</v>
      </c>
    </row>
    <row r="32" spans="2:12" ht="14.25">
      <c r="B32" s="147" t="s">
        <v>2025</v>
      </c>
      <c r="C32" s="480" t="s">
        <v>2342</v>
      </c>
      <c r="D32" s="481"/>
      <c r="E32" s="481"/>
      <c r="F32" s="481"/>
      <c r="G32" s="481"/>
      <c r="H32" s="481"/>
      <c r="I32" s="145">
        <v>14</v>
      </c>
      <c r="J32" s="299"/>
      <c r="K32" s="300"/>
      <c r="L32" s="146" t="str">
        <f t="shared" si="0"/>
        <v>-</v>
      </c>
    </row>
    <row r="33" spans="2:12" ht="14.25">
      <c r="B33" s="147" t="s">
        <v>2027</v>
      </c>
      <c r="C33" s="480" t="s">
        <v>2343</v>
      </c>
      <c r="D33" s="481"/>
      <c r="E33" s="481"/>
      <c r="F33" s="481"/>
      <c r="G33" s="481"/>
      <c r="H33" s="481"/>
      <c r="I33" s="145">
        <v>15</v>
      </c>
      <c r="J33" s="299"/>
      <c r="K33" s="300"/>
      <c r="L33" s="146" t="str">
        <f t="shared" si="0"/>
        <v>-</v>
      </c>
    </row>
    <row r="34" spans="2:12" ht="14.25">
      <c r="B34" s="147" t="s">
        <v>2029</v>
      </c>
      <c r="C34" s="480" t="s">
        <v>2344</v>
      </c>
      <c r="D34" s="481"/>
      <c r="E34" s="481"/>
      <c r="F34" s="481"/>
      <c r="G34" s="481"/>
      <c r="H34" s="481"/>
      <c r="I34" s="145">
        <v>16</v>
      </c>
      <c r="J34" s="299"/>
      <c r="K34" s="300"/>
      <c r="L34" s="146" t="str">
        <f t="shared" si="0"/>
        <v>-</v>
      </c>
    </row>
    <row r="35" spans="2:12" ht="14.25">
      <c r="B35" s="147" t="s">
        <v>2345</v>
      </c>
      <c r="C35" s="480" t="s">
        <v>2346</v>
      </c>
      <c r="D35" s="481"/>
      <c r="E35" s="481"/>
      <c r="F35" s="481"/>
      <c r="G35" s="481"/>
      <c r="H35" s="481"/>
      <c r="I35" s="145">
        <v>17</v>
      </c>
      <c r="J35" s="299"/>
      <c r="K35" s="300"/>
      <c r="L35" s="146" t="str">
        <f t="shared" si="0"/>
        <v>-</v>
      </c>
    </row>
    <row r="36" spans="2:12" ht="14.25">
      <c r="B36" s="144" t="s">
        <v>2347</v>
      </c>
      <c r="C36" s="487" t="s">
        <v>2348</v>
      </c>
      <c r="D36" s="488"/>
      <c r="E36" s="488"/>
      <c r="F36" s="488"/>
      <c r="G36" s="488"/>
      <c r="H36" s="488"/>
      <c r="I36" s="145">
        <v>18</v>
      </c>
      <c r="J36" s="294">
        <f>ROUND(J37+J41+J49+J52+J57+J60-J64,2)</f>
        <v>5782.33</v>
      </c>
      <c r="K36" s="294">
        <f>ROUND(K37+K41+K49+K52+K57+K60-K64,2)</f>
        <v>3210.89</v>
      </c>
      <c r="L36" s="146">
        <f t="shared" si="0"/>
        <v>55.52934543687407</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c r="K38" s="300"/>
      <c r="L38" s="146" t="str">
        <f t="shared" si="0"/>
        <v>-</v>
      </c>
    </row>
    <row r="39" spans="2:12" ht="14.25">
      <c r="B39" s="147" t="s">
        <v>2353</v>
      </c>
      <c r="C39" s="480" t="s">
        <v>2354</v>
      </c>
      <c r="D39" s="481"/>
      <c r="E39" s="481"/>
      <c r="F39" s="481"/>
      <c r="G39" s="481"/>
      <c r="H39" s="481"/>
      <c r="I39" s="145">
        <v>21</v>
      </c>
      <c r="J39" s="299"/>
      <c r="K39" s="300"/>
      <c r="L39" s="146" t="str">
        <f t="shared" si="0"/>
        <v>-</v>
      </c>
    </row>
    <row r="40" spans="2:12" ht="14.25">
      <c r="B40" s="147" t="s">
        <v>2355</v>
      </c>
      <c r="C40" s="480" t="s">
        <v>2356</v>
      </c>
      <c r="D40" s="481"/>
      <c r="E40" s="481"/>
      <c r="F40" s="481"/>
      <c r="G40" s="481"/>
      <c r="H40" s="481"/>
      <c r="I40" s="145">
        <v>22</v>
      </c>
      <c r="J40" s="299"/>
      <c r="K40" s="300"/>
      <c r="L40" s="146" t="str">
        <f t="shared" si="0"/>
        <v>-</v>
      </c>
    </row>
    <row r="41" spans="2:12" ht="14.25">
      <c r="B41" s="147" t="s">
        <v>2357</v>
      </c>
      <c r="C41" s="480" t="s">
        <v>2358</v>
      </c>
      <c r="D41" s="481"/>
      <c r="E41" s="481"/>
      <c r="F41" s="481"/>
      <c r="G41" s="481"/>
      <c r="H41" s="481"/>
      <c r="I41" s="145">
        <v>23</v>
      </c>
      <c r="J41" s="294">
        <f>ROUND(SUM(J42:J48),2)</f>
        <v>3619.62</v>
      </c>
      <c r="K41" s="294">
        <f>ROUND(SUM(K42:K48),2)</f>
        <v>3619.62</v>
      </c>
      <c r="L41" s="146">
        <f t="shared" si="0"/>
        <v>100</v>
      </c>
    </row>
    <row r="42" spans="2:12" ht="14.25">
      <c r="B42" s="147" t="s">
        <v>2359</v>
      </c>
      <c r="C42" s="480" t="s">
        <v>2360</v>
      </c>
      <c r="D42" s="481"/>
      <c r="E42" s="481"/>
      <c r="F42" s="481"/>
      <c r="G42" s="481"/>
      <c r="H42" s="481"/>
      <c r="I42" s="145">
        <v>24</v>
      </c>
      <c r="J42" s="299">
        <v>3619.62</v>
      </c>
      <c r="K42" s="300">
        <v>3619.62</v>
      </c>
      <c r="L42" s="146">
        <f t="shared" si="0"/>
        <v>100</v>
      </c>
    </row>
    <row r="43" spans="2:12" ht="14.25">
      <c r="B43" s="147" t="s">
        <v>2361</v>
      </c>
      <c r="C43" s="480" t="s">
        <v>2362</v>
      </c>
      <c r="D43" s="481"/>
      <c r="E43" s="481"/>
      <c r="F43" s="481"/>
      <c r="G43" s="481"/>
      <c r="H43" s="481"/>
      <c r="I43" s="145">
        <v>25</v>
      </c>
      <c r="J43" s="299"/>
      <c r="K43" s="300"/>
      <c r="L43" s="146" t="str">
        <f t="shared" si="0"/>
        <v>-</v>
      </c>
    </row>
    <row r="44" spans="2:12" ht="14.25">
      <c r="B44" s="147" t="s">
        <v>2363</v>
      </c>
      <c r="C44" s="480" t="s">
        <v>2364</v>
      </c>
      <c r="D44" s="481"/>
      <c r="E44" s="481"/>
      <c r="F44" s="481"/>
      <c r="G44" s="481"/>
      <c r="H44" s="481"/>
      <c r="I44" s="145">
        <v>26</v>
      </c>
      <c r="J44" s="299"/>
      <c r="K44" s="300"/>
      <c r="L44" s="146" t="str">
        <f t="shared" si="0"/>
        <v>-</v>
      </c>
    </row>
    <row r="45" spans="2:12" ht="14.25">
      <c r="B45" s="147" t="s">
        <v>2365</v>
      </c>
      <c r="C45" s="480" t="s">
        <v>2366</v>
      </c>
      <c r="D45" s="481"/>
      <c r="E45" s="481"/>
      <c r="F45" s="481"/>
      <c r="G45" s="481"/>
      <c r="H45" s="481"/>
      <c r="I45" s="145">
        <v>27</v>
      </c>
      <c r="J45" s="299"/>
      <c r="K45" s="300"/>
      <c r="L45" s="146" t="str">
        <f t="shared" si="0"/>
        <v>-</v>
      </c>
    </row>
    <row r="46" spans="2:12" ht="14.25">
      <c r="B46" s="147" t="s">
        <v>2367</v>
      </c>
      <c r="C46" s="480" t="s">
        <v>2368</v>
      </c>
      <c r="D46" s="481"/>
      <c r="E46" s="481"/>
      <c r="F46" s="481"/>
      <c r="G46" s="481"/>
      <c r="H46" s="481"/>
      <c r="I46" s="145">
        <v>28</v>
      </c>
      <c r="J46" s="299"/>
      <c r="K46" s="300"/>
      <c r="L46" s="146" t="str">
        <f t="shared" si="0"/>
        <v>-</v>
      </c>
    </row>
    <row r="47" spans="2:12" ht="14.25">
      <c r="B47" s="147" t="s">
        <v>2369</v>
      </c>
      <c r="C47" s="480" t="s">
        <v>2945</v>
      </c>
      <c r="D47" s="481"/>
      <c r="E47" s="481"/>
      <c r="F47" s="481"/>
      <c r="G47" s="481"/>
      <c r="H47" s="481"/>
      <c r="I47" s="145">
        <v>29</v>
      </c>
      <c r="J47" s="299"/>
      <c r="K47" s="300"/>
      <c r="L47" s="146" t="str">
        <f t="shared" si="0"/>
        <v>-</v>
      </c>
    </row>
    <row r="48" spans="2:12" ht="14.25">
      <c r="B48" s="147" t="s">
        <v>2946</v>
      </c>
      <c r="C48" s="480" t="s">
        <v>2947</v>
      </c>
      <c r="D48" s="481"/>
      <c r="E48" s="481"/>
      <c r="F48" s="481"/>
      <c r="G48" s="481"/>
      <c r="H48" s="481"/>
      <c r="I48" s="145">
        <v>30</v>
      </c>
      <c r="J48" s="299"/>
      <c r="K48" s="300"/>
      <c r="L48" s="146" t="str">
        <f t="shared" si="0"/>
        <v>-</v>
      </c>
    </row>
    <row r="49" spans="2:12" ht="14.25">
      <c r="B49" s="147" t="s">
        <v>2948</v>
      </c>
      <c r="C49" s="480" t="s">
        <v>2949</v>
      </c>
      <c r="D49" s="481"/>
      <c r="E49" s="481"/>
      <c r="F49" s="481"/>
      <c r="G49" s="481"/>
      <c r="H49" s="481"/>
      <c r="I49" s="145">
        <v>31</v>
      </c>
      <c r="J49" s="294">
        <f>ROUND(SUM(J50:J51),2)</f>
        <v>26545.46</v>
      </c>
      <c r="K49" s="294">
        <f>ROUND(SUM(K50:K51),2)</f>
        <v>16810.51</v>
      </c>
      <c r="L49" s="146">
        <f t="shared" si="0"/>
        <v>63.32725068618136</v>
      </c>
    </row>
    <row r="50" spans="2:12" ht="14.25">
      <c r="B50" s="147" t="s">
        <v>2950</v>
      </c>
      <c r="C50" s="480" t="s">
        <v>212</v>
      </c>
      <c r="D50" s="481"/>
      <c r="E50" s="481"/>
      <c r="F50" s="481"/>
      <c r="G50" s="481"/>
      <c r="H50" s="481"/>
      <c r="I50" s="145">
        <v>32</v>
      </c>
      <c r="J50" s="299">
        <v>26545.46</v>
      </c>
      <c r="K50" s="300">
        <v>16810.51</v>
      </c>
      <c r="L50" s="146">
        <f t="shared" si="0"/>
        <v>63.32725068618136</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c r="K53" s="300"/>
      <c r="L53" s="146" t="str">
        <f t="shared" si="1"/>
        <v>-</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1512</v>
      </c>
      <c r="D60" s="481"/>
      <c r="E60" s="481"/>
      <c r="F60" s="481"/>
      <c r="G60" s="481"/>
      <c r="H60" s="481"/>
      <c r="I60" s="145">
        <v>42</v>
      </c>
      <c r="J60" s="294">
        <f>ROUND(SUM(J61:J63),2)</f>
        <v>727.59</v>
      </c>
      <c r="K60" s="294">
        <f>ROUND(SUM(K61:K63),2)</f>
        <v>727.59</v>
      </c>
      <c r="L60" s="146">
        <f t="shared" si="1"/>
        <v>100</v>
      </c>
    </row>
    <row r="61" spans="2:12" ht="14.25">
      <c r="B61" s="147" t="s">
        <v>1513</v>
      </c>
      <c r="C61" s="480" t="s">
        <v>1514</v>
      </c>
      <c r="D61" s="481"/>
      <c r="E61" s="481"/>
      <c r="F61" s="481"/>
      <c r="G61" s="481"/>
      <c r="H61" s="481"/>
      <c r="I61" s="145">
        <v>43</v>
      </c>
      <c r="J61" s="299">
        <v>727.59</v>
      </c>
      <c r="K61" s="300">
        <v>727.59</v>
      </c>
      <c r="L61" s="146">
        <f t="shared" si="1"/>
        <v>100</v>
      </c>
    </row>
    <row r="62" spans="2:12" ht="14.25">
      <c r="B62" s="147" t="s">
        <v>1515</v>
      </c>
      <c r="C62" s="480" t="s">
        <v>1516</v>
      </c>
      <c r="D62" s="481"/>
      <c r="E62" s="481"/>
      <c r="F62" s="481"/>
      <c r="G62" s="481"/>
      <c r="H62" s="481"/>
      <c r="I62" s="145">
        <v>44</v>
      </c>
      <c r="J62" s="299"/>
      <c r="K62" s="300"/>
      <c r="L62" s="146" t="str">
        <f t="shared" si="1"/>
        <v>-</v>
      </c>
    </row>
    <row r="63" spans="2:12" ht="14.25">
      <c r="B63" s="147" t="s">
        <v>1517</v>
      </c>
      <c r="C63" s="480" t="s">
        <v>1518</v>
      </c>
      <c r="D63" s="481"/>
      <c r="E63" s="481"/>
      <c r="F63" s="481"/>
      <c r="G63" s="481"/>
      <c r="H63" s="481"/>
      <c r="I63" s="145">
        <v>45</v>
      </c>
      <c r="J63" s="299"/>
      <c r="K63" s="300"/>
      <c r="L63" s="146" t="str">
        <f t="shared" si="1"/>
        <v>-</v>
      </c>
    </row>
    <row r="64" spans="2:12" ht="14.25">
      <c r="B64" s="147" t="s">
        <v>1519</v>
      </c>
      <c r="C64" s="480" t="s">
        <v>1520</v>
      </c>
      <c r="D64" s="481"/>
      <c r="E64" s="481"/>
      <c r="F64" s="481"/>
      <c r="G64" s="481"/>
      <c r="H64" s="481"/>
      <c r="I64" s="145">
        <v>46</v>
      </c>
      <c r="J64" s="299">
        <v>25110.34</v>
      </c>
      <c r="K64" s="300">
        <v>17946.83</v>
      </c>
      <c r="L64" s="146">
        <f t="shared" si="1"/>
        <v>71.47187174685807</v>
      </c>
    </row>
    <row r="65" spans="2:12" ht="14.25">
      <c r="B65" s="144" t="s">
        <v>1521</v>
      </c>
      <c r="C65" s="487" t="s">
        <v>1522</v>
      </c>
      <c r="D65" s="488"/>
      <c r="E65" s="488"/>
      <c r="F65" s="488"/>
      <c r="G65" s="488"/>
      <c r="H65" s="488"/>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7" t="s">
        <v>277</v>
      </c>
      <c r="D69" s="488"/>
      <c r="E69" s="488"/>
      <c r="F69" s="488"/>
      <c r="G69" s="488"/>
      <c r="H69" s="488"/>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c r="K71" s="300"/>
      <c r="L71" s="146" t="str">
        <f t="shared" si="1"/>
        <v>-</v>
      </c>
    </row>
    <row r="72" spans="2:12" ht="14.25">
      <c r="B72" s="147" t="s">
        <v>282</v>
      </c>
      <c r="C72" s="480" t="s">
        <v>283</v>
      </c>
      <c r="D72" s="481"/>
      <c r="E72" s="481"/>
      <c r="F72" s="481"/>
      <c r="G72" s="481"/>
      <c r="H72" s="481"/>
      <c r="I72" s="145">
        <v>54</v>
      </c>
      <c r="J72" s="299"/>
      <c r="K72" s="300"/>
      <c r="L72" s="146" t="str">
        <f t="shared" si="1"/>
        <v>-</v>
      </c>
    </row>
    <row r="73" spans="2:12" ht="14.25">
      <c r="B73" s="144" t="s">
        <v>284</v>
      </c>
      <c r="C73" s="487" t="s">
        <v>285</v>
      </c>
      <c r="D73" s="488"/>
      <c r="E73" s="488"/>
      <c r="F73" s="488"/>
      <c r="G73" s="488"/>
      <c r="H73" s="488"/>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c r="K74" s="300"/>
      <c r="L74" s="146" t="str">
        <f t="shared" si="1"/>
        <v>-</v>
      </c>
    </row>
    <row r="75" spans="2:12" ht="14.25">
      <c r="B75" s="147" t="s">
        <v>1627</v>
      </c>
      <c r="C75" s="480" t="s">
        <v>400</v>
      </c>
      <c r="D75" s="481"/>
      <c r="E75" s="481"/>
      <c r="F75" s="481"/>
      <c r="G75" s="481"/>
      <c r="H75" s="481"/>
      <c r="I75" s="145">
        <v>57</v>
      </c>
      <c r="J75" s="299"/>
      <c r="K75" s="300"/>
      <c r="L75" s="146" t="str">
        <f t="shared" si="1"/>
        <v>-</v>
      </c>
    </row>
    <row r="76" spans="2:12" ht="14.25">
      <c r="B76" s="147" t="s">
        <v>1628</v>
      </c>
      <c r="C76" s="480" t="s">
        <v>401</v>
      </c>
      <c r="D76" s="481"/>
      <c r="E76" s="481"/>
      <c r="F76" s="481"/>
      <c r="G76" s="481"/>
      <c r="H76" s="481"/>
      <c r="I76" s="145">
        <v>58</v>
      </c>
      <c r="J76" s="299"/>
      <c r="K76" s="300"/>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1630</v>
      </c>
      <c r="C80" s="480" t="s">
        <v>403</v>
      </c>
      <c r="D80" s="481"/>
      <c r="E80" s="481"/>
      <c r="F80" s="481"/>
      <c r="G80" s="481"/>
      <c r="H80" s="481"/>
      <c r="I80" s="145">
        <v>62</v>
      </c>
      <c r="J80" s="299"/>
      <c r="K80" s="300"/>
      <c r="L80" s="146" t="str">
        <f t="shared" si="1"/>
        <v>-</v>
      </c>
    </row>
    <row r="81" spans="2:12" ht="14.25">
      <c r="B81" s="147" t="s">
        <v>1631</v>
      </c>
      <c r="C81" s="480" t="s">
        <v>404</v>
      </c>
      <c r="D81" s="481"/>
      <c r="E81" s="481"/>
      <c r="F81" s="481"/>
      <c r="G81" s="481"/>
      <c r="H81" s="481"/>
      <c r="I81" s="145">
        <v>63</v>
      </c>
      <c r="J81" s="299"/>
      <c r="K81" s="300"/>
      <c r="L81" s="146" t="str">
        <f t="shared" si="1"/>
        <v>-</v>
      </c>
    </row>
    <row r="82" spans="2:12" ht="14.25">
      <c r="B82" s="144" t="s">
        <v>291</v>
      </c>
      <c r="C82" s="487" t="s">
        <v>292</v>
      </c>
      <c r="D82" s="488"/>
      <c r="E82" s="488"/>
      <c r="F82" s="488"/>
      <c r="G82" s="488"/>
      <c r="H82" s="488"/>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c r="K84" s="300"/>
      <c r="L84" s="146" t="str">
        <f t="shared" si="2"/>
        <v>-</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7" t="s">
        <v>872</v>
      </c>
      <c r="D92" s="488"/>
      <c r="E92" s="488"/>
      <c r="F92" s="488"/>
      <c r="G92" s="488"/>
      <c r="H92" s="488"/>
      <c r="I92" s="145">
        <v>74</v>
      </c>
      <c r="J92" s="294">
        <f>ROUND(J93+J101+J118+J123+J143+J151+J160,2)</f>
        <v>26836.29</v>
      </c>
      <c r="K92" s="294">
        <f>ROUND(K93+K101+K118+K123+K143+K151+K160,2)</f>
        <v>68408.8</v>
      </c>
      <c r="L92" s="146">
        <f t="shared" si="2"/>
        <v>254.91153956079623</v>
      </c>
    </row>
    <row r="93" spans="2:12" ht="14.25">
      <c r="B93" s="147">
        <v>11</v>
      </c>
      <c r="C93" s="480" t="s">
        <v>873</v>
      </c>
      <c r="D93" s="481"/>
      <c r="E93" s="481"/>
      <c r="F93" s="481"/>
      <c r="G93" s="481"/>
      <c r="H93" s="481"/>
      <c r="I93" s="145">
        <v>75</v>
      </c>
      <c r="J93" s="294">
        <f>ROUND(J94+J98+J99+J100,2)</f>
        <v>26836.29</v>
      </c>
      <c r="K93" s="294">
        <f>ROUND(K94+K98+K99+K100,2)</f>
        <v>68408.8</v>
      </c>
      <c r="L93" s="146">
        <f t="shared" si="2"/>
        <v>254.91153956079623</v>
      </c>
    </row>
    <row r="94" spans="2:12" ht="14.25">
      <c r="B94" s="147">
        <v>111</v>
      </c>
      <c r="C94" s="480" t="s">
        <v>874</v>
      </c>
      <c r="D94" s="481"/>
      <c r="E94" s="481"/>
      <c r="F94" s="481"/>
      <c r="G94" s="481"/>
      <c r="H94" s="481"/>
      <c r="I94" s="145">
        <v>76</v>
      </c>
      <c r="J94" s="294">
        <f>ROUND(SUM(J95:J97),2)</f>
        <v>26440.11</v>
      </c>
      <c r="K94" s="294">
        <f>ROUND(SUM(K95:K97),2)</f>
        <v>68145.69</v>
      </c>
      <c r="L94" s="146">
        <f t="shared" si="2"/>
        <v>257.736030598965</v>
      </c>
    </row>
    <row r="95" spans="2:12" ht="14.25">
      <c r="B95" s="147">
        <v>1111</v>
      </c>
      <c r="C95" s="480" t="s">
        <v>875</v>
      </c>
      <c r="D95" s="481"/>
      <c r="E95" s="481"/>
      <c r="F95" s="481"/>
      <c r="G95" s="481"/>
      <c r="H95" s="481"/>
      <c r="I95" s="145">
        <v>77</v>
      </c>
      <c r="J95" s="299">
        <v>26440.11</v>
      </c>
      <c r="K95" s="300">
        <v>68145.69</v>
      </c>
      <c r="L95" s="146">
        <f t="shared" si="2"/>
        <v>257.736030598965</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v>396.18</v>
      </c>
      <c r="K99" s="300">
        <v>263.11</v>
      </c>
      <c r="L99" s="146">
        <f t="shared" si="2"/>
        <v>66.41173204099147</v>
      </c>
    </row>
    <row r="100" spans="2:12" ht="14.2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95"/>
      <c r="E101" s="495"/>
      <c r="F101" s="495"/>
      <c r="G101" s="495"/>
      <c r="H101" s="495"/>
      <c r="I101" s="145">
        <v>83</v>
      </c>
      <c r="J101" s="294">
        <f>ROUND(J102+J105+J106+J107+J113,2)</f>
        <v>0</v>
      </c>
      <c r="K101" s="294">
        <f>ROUND(K102+K105+K106+K107+K113,2)</f>
        <v>0</v>
      </c>
      <c r="L101" s="146" t="str">
        <f t="shared" si="2"/>
        <v>-</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0</v>
      </c>
      <c r="K107" s="294">
        <f>ROUND(SUM(K108:K112),2)</f>
        <v>0</v>
      </c>
      <c r="L107" s="146" t="str">
        <f t="shared" si="2"/>
        <v>-</v>
      </c>
    </row>
    <row r="108" spans="2:12" ht="14.25">
      <c r="B108" s="147">
        <v>1241</v>
      </c>
      <c r="C108" s="480" t="s">
        <v>2119</v>
      </c>
      <c r="D108" s="481"/>
      <c r="E108" s="481"/>
      <c r="F108" s="481"/>
      <c r="G108" s="481"/>
      <c r="H108" s="481"/>
      <c r="I108" s="145">
        <v>90</v>
      </c>
      <c r="J108" s="299"/>
      <c r="K108" s="300"/>
      <c r="L108" s="146" t="str">
        <f t="shared" si="2"/>
        <v>-</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c r="K114" s="300"/>
      <c r="L114" s="146" t="str">
        <f t="shared" si="2"/>
        <v>-</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c r="K117" s="300"/>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c r="K125" s="300"/>
      <c r="L125" s="146" t="str">
        <f t="shared" si="3"/>
        <v>-</v>
      </c>
    </row>
    <row r="126" spans="2:12" ht="14.25">
      <c r="B126" s="147">
        <v>1412</v>
      </c>
      <c r="C126" s="480" t="s">
        <v>1877</v>
      </c>
      <c r="D126" s="481"/>
      <c r="E126" s="481"/>
      <c r="F126" s="481"/>
      <c r="G126" s="481"/>
      <c r="H126" s="481"/>
      <c r="I126" s="145">
        <v>108</v>
      </c>
      <c r="J126" s="299"/>
      <c r="K126" s="300"/>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c r="K128" s="300"/>
      <c r="L128" s="146" t="str">
        <f t="shared" si="3"/>
        <v>-</v>
      </c>
    </row>
    <row r="129" spans="2:12" ht="14.25">
      <c r="B129" s="147">
        <v>1422</v>
      </c>
      <c r="C129" s="480" t="s">
        <v>1880</v>
      </c>
      <c r="D129" s="481"/>
      <c r="E129" s="481"/>
      <c r="F129" s="481"/>
      <c r="G129" s="481"/>
      <c r="H129" s="481"/>
      <c r="I129" s="145">
        <v>111</v>
      </c>
      <c r="J129" s="299"/>
      <c r="K129" s="300"/>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c r="K131" s="300"/>
      <c r="L131" s="146" t="str">
        <f t="shared" si="3"/>
        <v>-</v>
      </c>
    </row>
    <row r="132" spans="2:12" ht="14.25">
      <c r="B132" s="147">
        <v>1432</v>
      </c>
      <c r="C132" s="480" t="s">
        <v>1883</v>
      </c>
      <c r="D132" s="481"/>
      <c r="E132" s="481"/>
      <c r="F132" s="481"/>
      <c r="G132" s="481"/>
      <c r="H132" s="481"/>
      <c r="I132" s="145">
        <v>114</v>
      </c>
      <c r="J132" s="299"/>
      <c r="K132" s="300"/>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c r="K134" s="300"/>
      <c r="L134" s="146" t="str">
        <f t="shared" si="3"/>
        <v>-</v>
      </c>
    </row>
    <row r="135" spans="2:12" ht="14.25">
      <c r="B135" s="147">
        <v>1442</v>
      </c>
      <c r="C135" s="480" t="s">
        <v>2640</v>
      </c>
      <c r="D135" s="481"/>
      <c r="E135" s="481"/>
      <c r="F135" s="481"/>
      <c r="G135" s="481"/>
      <c r="H135" s="481"/>
      <c r="I135" s="145">
        <v>117</v>
      </c>
      <c r="J135" s="299"/>
      <c r="K135" s="300"/>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c r="K137" s="300"/>
      <c r="L137" s="146" t="str">
        <f t="shared" si="3"/>
        <v>-</v>
      </c>
    </row>
    <row r="138" spans="2:12" ht="14.25">
      <c r="B138" s="147">
        <v>1452</v>
      </c>
      <c r="C138" s="480" t="s">
        <v>2643</v>
      </c>
      <c r="D138" s="481"/>
      <c r="E138" s="481"/>
      <c r="F138" s="481"/>
      <c r="G138" s="481"/>
      <c r="H138" s="481"/>
      <c r="I138" s="145">
        <v>120</v>
      </c>
      <c r="J138" s="299"/>
      <c r="K138" s="300"/>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c r="K140" s="300"/>
      <c r="L140" s="146" t="str">
        <f t="shared" si="3"/>
        <v>-</v>
      </c>
    </row>
    <row r="141" spans="2:12" ht="14.25">
      <c r="B141" s="147">
        <v>1462</v>
      </c>
      <c r="C141" s="480" t="s">
        <v>2646</v>
      </c>
      <c r="D141" s="481"/>
      <c r="E141" s="481"/>
      <c r="F141" s="481"/>
      <c r="G141" s="481"/>
      <c r="H141" s="481"/>
      <c r="I141" s="145">
        <v>123</v>
      </c>
      <c r="J141" s="299"/>
      <c r="K141" s="300"/>
      <c r="L141" s="146" t="str">
        <f t="shared" si="3"/>
        <v>-</v>
      </c>
    </row>
    <row r="142" spans="2:12" ht="14.25">
      <c r="B142" s="147">
        <v>149</v>
      </c>
      <c r="C142" s="480" t="s">
        <v>2647</v>
      </c>
      <c r="D142" s="481"/>
      <c r="E142" s="481"/>
      <c r="F142" s="481"/>
      <c r="G142" s="481"/>
      <c r="H142" s="481"/>
      <c r="I142" s="145">
        <v>124</v>
      </c>
      <c r="J142" s="299"/>
      <c r="K142" s="300"/>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c r="K145" s="300"/>
      <c r="L145" s="146" t="str">
        <f t="shared" si="3"/>
        <v>-</v>
      </c>
    </row>
    <row r="146" spans="2:12" ht="14.25">
      <c r="B146" s="147">
        <v>1512</v>
      </c>
      <c r="C146" s="480" t="s">
        <v>2651</v>
      </c>
      <c r="D146" s="481"/>
      <c r="E146" s="481"/>
      <c r="F146" s="481"/>
      <c r="G146" s="481"/>
      <c r="H146" s="481"/>
      <c r="I146" s="145">
        <v>128</v>
      </c>
      <c r="J146" s="299"/>
      <c r="K146" s="300"/>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c r="K148" s="300"/>
      <c r="L148" s="146" t="str">
        <f t="shared" si="4"/>
        <v>-</v>
      </c>
    </row>
    <row r="149" spans="2:12" ht="14.25">
      <c r="B149" s="147">
        <v>1522</v>
      </c>
      <c r="C149" s="480" t="s">
        <v>2861</v>
      </c>
      <c r="D149" s="481"/>
      <c r="E149" s="481"/>
      <c r="F149" s="481"/>
      <c r="G149" s="481"/>
      <c r="H149" s="481"/>
      <c r="I149" s="145">
        <v>131</v>
      </c>
      <c r="J149" s="299"/>
      <c r="K149" s="300"/>
      <c r="L149" s="146" t="str">
        <f t="shared" si="4"/>
        <v>-</v>
      </c>
    </row>
    <row r="150" spans="2:12" ht="14.25">
      <c r="B150" s="147">
        <v>159</v>
      </c>
      <c r="C150" s="480" t="s">
        <v>1150</v>
      </c>
      <c r="D150" s="481"/>
      <c r="E150" s="481"/>
      <c r="F150" s="481"/>
      <c r="G150" s="481"/>
      <c r="H150" s="481"/>
      <c r="I150" s="145">
        <v>132</v>
      </c>
      <c r="J150" s="299"/>
      <c r="K150" s="300"/>
      <c r="L150" s="146" t="str">
        <f t="shared" si="4"/>
        <v>-</v>
      </c>
    </row>
    <row r="151" spans="2:12" ht="14.2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4.25">
      <c r="B152" s="147">
        <v>161</v>
      </c>
      <c r="C152" s="480" t="s">
        <v>1152</v>
      </c>
      <c r="D152" s="481"/>
      <c r="E152" s="481"/>
      <c r="F152" s="481"/>
      <c r="G152" s="481"/>
      <c r="H152" s="481"/>
      <c r="I152" s="145">
        <v>134</v>
      </c>
      <c r="J152" s="299"/>
      <c r="K152" s="300"/>
      <c r="L152" s="146" t="str">
        <f t="shared" si="4"/>
        <v>-</v>
      </c>
    </row>
    <row r="153" spans="2:12" ht="14.25">
      <c r="B153" s="147">
        <v>162</v>
      </c>
      <c r="C153" s="480" t="s">
        <v>1153</v>
      </c>
      <c r="D153" s="481"/>
      <c r="E153" s="481"/>
      <c r="F153" s="481"/>
      <c r="G153" s="481"/>
      <c r="H153" s="481"/>
      <c r="I153" s="145">
        <v>135</v>
      </c>
      <c r="J153" s="299"/>
      <c r="K153" s="300"/>
      <c r="L153" s="146" t="str">
        <f t="shared" si="4"/>
        <v>-</v>
      </c>
    </row>
    <row r="154" spans="2:12" ht="14.25">
      <c r="B154" s="147">
        <v>163</v>
      </c>
      <c r="C154" s="480" t="s">
        <v>1154</v>
      </c>
      <c r="D154" s="481"/>
      <c r="E154" s="481"/>
      <c r="F154" s="481"/>
      <c r="G154" s="481"/>
      <c r="H154" s="481"/>
      <c r="I154" s="145">
        <v>136</v>
      </c>
      <c r="J154" s="299"/>
      <c r="K154" s="300"/>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c r="K161" s="300"/>
      <c r="L161" s="146" t="str">
        <f t="shared" si="4"/>
        <v>-</v>
      </c>
    </row>
    <row r="162" spans="2:12" ht="14.25">
      <c r="B162" s="148">
        <v>192</v>
      </c>
      <c r="C162" s="489" t="s">
        <v>799</v>
      </c>
      <c r="D162" s="490"/>
      <c r="E162" s="490"/>
      <c r="F162" s="490"/>
      <c r="G162" s="490"/>
      <c r="H162" s="490"/>
      <c r="I162" s="149">
        <v>144</v>
      </c>
      <c r="J162" s="301"/>
      <c r="K162" s="302"/>
      <c r="L162" s="131" t="str">
        <f t="shared" si="4"/>
        <v>-</v>
      </c>
    </row>
    <row r="163" spans="2:12" s="27" customFormat="1" ht="12.75">
      <c r="B163" s="482" t="s">
        <v>800</v>
      </c>
      <c r="C163" s="483"/>
      <c r="D163" s="483"/>
      <c r="E163" s="483"/>
      <c r="F163" s="483"/>
      <c r="G163" s="483"/>
      <c r="H163" s="483"/>
      <c r="I163" s="483"/>
      <c r="J163" s="483"/>
      <c r="K163" s="483"/>
      <c r="L163" s="484"/>
    </row>
    <row r="164" spans="2:12" ht="14.25">
      <c r="B164" s="142"/>
      <c r="C164" s="493" t="s">
        <v>2309</v>
      </c>
      <c r="D164" s="494"/>
      <c r="E164" s="494"/>
      <c r="F164" s="494"/>
      <c r="G164" s="494"/>
      <c r="H164" s="494"/>
      <c r="I164" s="143">
        <v>145</v>
      </c>
      <c r="J164" s="293">
        <f>ROUND(J165+J214,2)</f>
        <v>32618.62</v>
      </c>
      <c r="K164" s="293">
        <f>ROUND(K165+K214,2)</f>
        <v>71619.69</v>
      </c>
      <c r="L164" s="150">
        <f aca="true" t="shared" si="5" ref="L164:L195">IF(J164&gt;0,IF(K164/J164&gt;=100,"&gt;&gt;100",K164/J164*100),"-")</f>
        <v>219.56689154844688</v>
      </c>
    </row>
    <row r="165" spans="2:12" ht="14.25">
      <c r="B165" s="144">
        <v>2</v>
      </c>
      <c r="C165" s="487" t="s">
        <v>801</v>
      </c>
      <c r="D165" s="488"/>
      <c r="E165" s="488"/>
      <c r="F165" s="488"/>
      <c r="G165" s="488"/>
      <c r="H165" s="488"/>
      <c r="I165" s="145">
        <v>146</v>
      </c>
      <c r="J165" s="294">
        <f>ROUND(J166+J193+J201+J209,2)</f>
        <v>4066.27</v>
      </c>
      <c r="K165" s="294">
        <f>ROUND(K166+K193+K201+K209,2)</f>
        <v>5263.85</v>
      </c>
      <c r="L165" s="151">
        <f t="shared" si="5"/>
        <v>129.45156125884412</v>
      </c>
    </row>
    <row r="166" spans="2:12" ht="14.25">
      <c r="B166" s="147">
        <v>24</v>
      </c>
      <c r="C166" s="480" t="s">
        <v>802</v>
      </c>
      <c r="D166" s="481"/>
      <c r="E166" s="481"/>
      <c r="F166" s="481"/>
      <c r="G166" s="481"/>
      <c r="H166" s="481"/>
      <c r="I166" s="145">
        <v>147</v>
      </c>
      <c r="J166" s="294">
        <f>ROUND(J167+J175+J183+J187+J188+J189,2)</f>
        <v>4066.27</v>
      </c>
      <c r="K166" s="294">
        <f>ROUND(K167+K175+K183+K187+K188+K189,2)</f>
        <v>5263.85</v>
      </c>
      <c r="L166" s="151">
        <f t="shared" si="5"/>
        <v>129.45156125884412</v>
      </c>
    </row>
    <row r="167" spans="2:12" ht="14.25">
      <c r="B167" s="147">
        <v>241</v>
      </c>
      <c r="C167" s="480" t="s">
        <v>1954</v>
      </c>
      <c r="D167" s="481"/>
      <c r="E167" s="481"/>
      <c r="F167" s="481"/>
      <c r="G167" s="481"/>
      <c r="H167" s="481"/>
      <c r="I167" s="145">
        <v>148</v>
      </c>
      <c r="J167" s="294">
        <f>ROUND(SUM(J168:J174),2)</f>
        <v>4007.43</v>
      </c>
      <c r="K167" s="294">
        <f>ROUND(SUM(K168:K174),2)</f>
        <v>4834</v>
      </c>
      <c r="L167" s="151">
        <f t="shared" si="5"/>
        <v>120.62593732142545</v>
      </c>
    </row>
    <row r="168" spans="2:12" ht="14.25">
      <c r="B168" s="147">
        <v>2411</v>
      </c>
      <c r="C168" s="480" t="s">
        <v>1955</v>
      </c>
      <c r="D168" s="481"/>
      <c r="E168" s="481"/>
      <c r="F168" s="481"/>
      <c r="G168" s="481"/>
      <c r="H168" s="481"/>
      <c r="I168" s="145">
        <v>149</v>
      </c>
      <c r="J168" s="295">
        <v>2356.23</v>
      </c>
      <c r="K168" s="296">
        <v>3063.24</v>
      </c>
      <c r="L168" s="151">
        <f t="shared" si="5"/>
        <v>130.00598413567434</v>
      </c>
    </row>
    <row r="169" spans="2:12" ht="14.25">
      <c r="B169" s="147">
        <v>2412</v>
      </c>
      <c r="C169" s="480" t="s">
        <v>1956</v>
      </c>
      <c r="D169" s="481"/>
      <c r="E169" s="481"/>
      <c r="F169" s="481"/>
      <c r="G169" s="481"/>
      <c r="H169" s="481"/>
      <c r="I169" s="145">
        <v>150</v>
      </c>
      <c r="J169" s="295"/>
      <c r="K169" s="296"/>
      <c r="L169" s="151" t="str">
        <f t="shared" si="5"/>
        <v>-</v>
      </c>
    </row>
    <row r="170" spans="2:12" ht="14.25">
      <c r="B170" s="147">
        <v>2413</v>
      </c>
      <c r="C170" s="480" t="s">
        <v>1957</v>
      </c>
      <c r="D170" s="481"/>
      <c r="E170" s="481"/>
      <c r="F170" s="481"/>
      <c r="G170" s="481"/>
      <c r="H170" s="481"/>
      <c r="I170" s="145">
        <v>151</v>
      </c>
      <c r="J170" s="295"/>
      <c r="K170" s="296"/>
      <c r="L170" s="151" t="str">
        <f t="shared" si="5"/>
        <v>-</v>
      </c>
    </row>
    <row r="171" spans="2:12" ht="14.25">
      <c r="B171" s="147">
        <v>2414</v>
      </c>
      <c r="C171" s="480" t="s">
        <v>1958</v>
      </c>
      <c r="D171" s="481"/>
      <c r="E171" s="481"/>
      <c r="F171" s="481"/>
      <c r="G171" s="481"/>
      <c r="H171" s="481"/>
      <c r="I171" s="145">
        <v>152</v>
      </c>
      <c r="J171" s="295">
        <v>395.64</v>
      </c>
      <c r="K171" s="296">
        <v>445.66</v>
      </c>
      <c r="L171" s="151">
        <f t="shared" si="5"/>
        <v>112.6428065918512</v>
      </c>
    </row>
    <row r="172" spans="2:12" ht="14.25">
      <c r="B172" s="147">
        <v>2415</v>
      </c>
      <c r="C172" s="480" t="s">
        <v>1959</v>
      </c>
      <c r="D172" s="481"/>
      <c r="E172" s="481"/>
      <c r="F172" s="481"/>
      <c r="G172" s="481"/>
      <c r="H172" s="481"/>
      <c r="I172" s="145">
        <v>153</v>
      </c>
      <c r="J172" s="295">
        <v>688.04</v>
      </c>
      <c r="K172" s="296">
        <v>813.95</v>
      </c>
      <c r="L172" s="151">
        <f t="shared" si="5"/>
        <v>118.29980815068892</v>
      </c>
    </row>
    <row r="173" spans="2:12" ht="14.25">
      <c r="B173" s="147">
        <v>2416</v>
      </c>
      <c r="C173" s="480" t="s">
        <v>1960</v>
      </c>
      <c r="D173" s="481"/>
      <c r="E173" s="481"/>
      <c r="F173" s="481"/>
      <c r="G173" s="481"/>
      <c r="H173" s="481"/>
      <c r="I173" s="145">
        <v>154</v>
      </c>
      <c r="J173" s="295">
        <v>567.52</v>
      </c>
      <c r="K173" s="296">
        <v>511.15</v>
      </c>
      <c r="L173" s="151">
        <f t="shared" si="5"/>
        <v>90.06731040315759</v>
      </c>
    </row>
    <row r="174" spans="2:12" ht="14.25">
      <c r="B174" s="147">
        <v>2417</v>
      </c>
      <c r="C174" s="480" t="s">
        <v>1961</v>
      </c>
      <c r="D174" s="481"/>
      <c r="E174" s="481"/>
      <c r="F174" s="481"/>
      <c r="G174" s="481"/>
      <c r="H174" s="481"/>
      <c r="I174" s="145">
        <v>155</v>
      </c>
      <c r="J174" s="295"/>
      <c r="K174" s="296"/>
      <c r="L174" s="151" t="str">
        <f t="shared" si="5"/>
        <v>-</v>
      </c>
    </row>
    <row r="175" spans="2:12" ht="14.25">
      <c r="B175" s="147">
        <v>242</v>
      </c>
      <c r="C175" s="480" t="s">
        <v>1962</v>
      </c>
      <c r="D175" s="481"/>
      <c r="E175" s="481"/>
      <c r="F175" s="481"/>
      <c r="G175" s="481"/>
      <c r="H175" s="481"/>
      <c r="I175" s="145">
        <v>156</v>
      </c>
      <c r="J175" s="294">
        <f>ROUND(SUM(J176:J182),2)</f>
        <v>58.84</v>
      </c>
      <c r="K175" s="294">
        <f>ROUND(SUM(K176:K182),2)</f>
        <v>429.85</v>
      </c>
      <c r="L175" s="151">
        <f t="shared" si="5"/>
        <v>730.5404486743712</v>
      </c>
    </row>
    <row r="176" spans="2:12" ht="14.25">
      <c r="B176" s="147">
        <v>2421</v>
      </c>
      <c r="C176" s="480" t="s">
        <v>1963</v>
      </c>
      <c r="D176" s="481"/>
      <c r="E176" s="481"/>
      <c r="F176" s="481"/>
      <c r="G176" s="481"/>
      <c r="H176" s="481"/>
      <c r="I176" s="145">
        <v>157</v>
      </c>
      <c r="J176" s="295"/>
      <c r="K176" s="296"/>
      <c r="L176" s="151" t="str">
        <f t="shared" si="5"/>
        <v>-</v>
      </c>
    </row>
    <row r="177" spans="2:12" ht="14.25">
      <c r="B177" s="147">
        <v>2422</v>
      </c>
      <c r="C177" s="480" t="s">
        <v>1964</v>
      </c>
      <c r="D177" s="481"/>
      <c r="E177" s="481"/>
      <c r="F177" s="481"/>
      <c r="G177" s="481"/>
      <c r="H177" s="481"/>
      <c r="I177" s="145">
        <v>158</v>
      </c>
      <c r="J177" s="295"/>
      <c r="K177" s="296"/>
      <c r="L177" s="151" t="str">
        <f t="shared" si="5"/>
        <v>-</v>
      </c>
    </row>
    <row r="178" spans="2:12" ht="14.25">
      <c r="B178" s="147">
        <v>2423</v>
      </c>
      <c r="C178" s="480" t="s">
        <v>1992</v>
      </c>
      <c r="D178" s="481"/>
      <c r="E178" s="481"/>
      <c r="F178" s="481"/>
      <c r="G178" s="481"/>
      <c r="H178" s="481"/>
      <c r="I178" s="145">
        <v>159</v>
      </c>
      <c r="J178" s="295"/>
      <c r="K178" s="296"/>
      <c r="L178" s="151" t="str">
        <f t="shared" si="5"/>
        <v>-</v>
      </c>
    </row>
    <row r="179" spans="2:12" ht="14.25">
      <c r="B179" s="147">
        <v>2424</v>
      </c>
      <c r="C179" s="480" t="s">
        <v>1993</v>
      </c>
      <c r="D179" s="481"/>
      <c r="E179" s="481"/>
      <c r="F179" s="481"/>
      <c r="G179" s="481"/>
      <c r="H179" s="481"/>
      <c r="I179" s="145">
        <v>160</v>
      </c>
      <c r="J179" s="295"/>
      <c r="K179" s="296"/>
      <c r="L179" s="151" t="str">
        <f t="shared" si="5"/>
        <v>-</v>
      </c>
    </row>
    <row r="180" spans="2:12" ht="14.25">
      <c r="B180" s="147">
        <v>2425</v>
      </c>
      <c r="C180" s="480" t="s">
        <v>1965</v>
      </c>
      <c r="D180" s="481"/>
      <c r="E180" s="481"/>
      <c r="F180" s="481"/>
      <c r="G180" s="481"/>
      <c r="H180" s="481"/>
      <c r="I180" s="145">
        <v>161</v>
      </c>
      <c r="J180" s="295">
        <v>58.84</v>
      </c>
      <c r="K180" s="296">
        <v>429.85</v>
      </c>
      <c r="L180" s="151">
        <f t="shared" si="5"/>
        <v>730.5404486743712</v>
      </c>
    </row>
    <row r="181" spans="2:12" ht="14.25">
      <c r="B181" s="147">
        <v>2426</v>
      </c>
      <c r="C181" s="480" t="s">
        <v>1966</v>
      </c>
      <c r="D181" s="481"/>
      <c r="E181" s="481"/>
      <c r="F181" s="481"/>
      <c r="G181" s="481"/>
      <c r="H181" s="481"/>
      <c r="I181" s="145">
        <v>162</v>
      </c>
      <c r="J181" s="295"/>
      <c r="K181" s="296"/>
      <c r="L181" s="151" t="str">
        <f t="shared" si="5"/>
        <v>-</v>
      </c>
    </row>
    <row r="182" spans="2:12" ht="14.25">
      <c r="B182" s="147">
        <v>2429</v>
      </c>
      <c r="C182" s="480" t="s">
        <v>1967</v>
      </c>
      <c r="D182" s="481"/>
      <c r="E182" s="481"/>
      <c r="F182" s="481"/>
      <c r="G182" s="481"/>
      <c r="H182" s="481"/>
      <c r="I182" s="145">
        <v>163</v>
      </c>
      <c r="J182" s="295"/>
      <c r="K182" s="296"/>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c r="K184" s="296"/>
      <c r="L184" s="151" t="str">
        <f t="shared" si="5"/>
        <v>-</v>
      </c>
    </row>
    <row r="185" spans="2:12" ht="14.25">
      <c r="B185" s="147">
        <v>2442</v>
      </c>
      <c r="C185" s="480" t="s">
        <v>1970</v>
      </c>
      <c r="D185" s="481"/>
      <c r="E185" s="481"/>
      <c r="F185" s="481"/>
      <c r="G185" s="481"/>
      <c r="H185" s="481"/>
      <c r="I185" s="145">
        <v>166</v>
      </c>
      <c r="J185" s="295"/>
      <c r="K185" s="296"/>
      <c r="L185" s="151" t="str">
        <f t="shared" si="5"/>
        <v>-</v>
      </c>
    </row>
    <row r="186" spans="2:12" ht="14.25">
      <c r="B186" s="147">
        <v>2443</v>
      </c>
      <c r="C186" s="480" t="s">
        <v>1971</v>
      </c>
      <c r="D186" s="481"/>
      <c r="E186" s="481"/>
      <c r="F186" s="481"/>
      <c r="G186" s="481"/>
      <c r="H186" s="481"/>
      <c r="I186" s="145">
        <v>167</v>
      </c>
      <c r="J186" s="295"/>
      <c r="K186" s="296"/>
      <c r="L186" s="151" t="str">
        <f t="shared" si="5"/>
        <v>-</v>
      </c>
    </row>
    <row r="187" spans="2:12" ht="14.25">
      <c r="B187" s="147">
        <v>245</v>
      </c>
      <c r="C187" s="480" t="s">
        <v>1972</v>
      </c>
      <c r="D187" s="481"/>
      <c r="E187" s="481"/>
      <c r="F187" s="481"/>
      <c r="G187" s="481"/>
      <c r="H187" s="481"/>
      <c r="I187" s="145">
        <v>168</v>
      </c>
      <c r="J187" s="295"/>
      <c r="K187" s="296"/>
      <c r="L187" s="151" t="str">
        <f t="shared" si="5"/>
        <v>-</v>
      </c>
    </row>
    <row r="188" spans="2:12" ht="14.25">
      <c r="B188" s="147">
        <v>246</v>
      </c>
      <c r="C188" s="480" t="s">
        <v>2120</v>
      </c>
      <c r="D188" s="481"/>
      <c r="E188" s="481"/>
      <c r="F188" s="481"/>
      <c r="G188" s="481"/>
      <c r="H188" s="481"/>
      <c r="I188" s="145">
        <v>169</v>
      </c>
      <c r="J188" s="295"/>
      <c r="K188" s="296"/>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c r="K190" s="296"/>
      <c r="L190" s="151" t="str">
        <f t="shared" si="5"/>
        <v>-</v>
      </c>
    </row>
    <row r="191" spans="2:12" ht="14.25">
      <c r="B191" s="147">
        <v>2492</v>
      </c>
      <c r="C191" s="480" t="s">
        <v>2872</v>
      </c>
      <c r="D191" s="481"/>
      <c r="E191" s="481"/>
      <c r="F191" s="481"/>
      <c r="G191" s="481"/>
      <c r="H191" s="481"/>
      <c r="I191" s="145">
        <v>172</v>
      </c>
      <c r="J191" s="295"/>
      <c r="K191" s="296"/>
      <c r="L191" s="151" t="str">
        <f t="shared" si="5"/>
        <v>-</v>
      </c>
    </row>
    <row r="192" spans="2:12" ht="14.25">
      <c r="B192" s="147">
        <v>2493</v>
      </c>
      <c r="C192" s="491" t="s">
        <v>1289</v>
      </c>
      <c r="D192" s="492"/>
      <c r="E192" s="492"/>
      <c r="F192" s="492"/>
      <c r="G192" s="492"/>
      <c r="H192" s="492"/>
      <c r="I192" s="145">
        <v>173</v>
      </c>
      <c r="J192" s="295"/>
      <c r="K192" s="296"/>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c r="K195" s="296"/>
      <c r="L195" s="151" t="str">
        <f t="shared" si="5"/>
        <v>-</v>
      </c>
    </row>
    <row r="196" spans="2:12" ht="14.2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c r="K198" s="296"/>
      <c r="L198" s="151" t="str">
        <f t="shared" si="6"/>
        <v>-</v>
      </c>
    </row>
    <row r="199" spans="2:12" ht="14.25">
      <c r="B199" s="147">
        <v>2522</v>
      </c>
      <c r="C199" s="480" t="s">
        <v>1296</v>
      </c>
      <c r="D199" s="481"/>
      <c r="E199" s="481"/>
      <c r="F199" s="481"/>
      <c r="G199" s="481"/>
      <c r="H199" s="481"/>
      <c r="I199" s="145">
        <v>180</v>
      </c>
      <c r="J199" s="295"/>
      <c r="K199" s="296"/>
      <c r="L199" s="151" t="str">
        <f t="shared" si="6"/>
        <v>-</v>
      </c>
    </row>
    <row r="200" spans="2:12" ht="14.25">
      <c r="B200" s="147">
        <v>259</v>
      </c>
      <c r="C200" s="480" t="s">
        <v>2141</v>
      </c>
      <c r="D200" s="481"/>
      <c r="E200" s="481"/>
      <c r="F200" s="481"/>
      <c r="G200" s="481"/>
      <c r="H200" s="481"/>
      <c r="I200" s="145">
        <v>181</v>
      </c>
      <c r="J200" s="295"/>
      <c r="K200" s="296"/>
      <c r="L200" s="151" t="str">
        <f t="shared" si="6"/>
        <v>-</v>
      </c>
    </row>
    <row r="201" spans="2:12" ht="14.25">
      <c r="B201" s="147">
        <v>26</v>
      </c>
      <c r="C201" s="480" t="s">
        <v>2142</v>
      </c>
      <c r="D201" s="481"/>
      <c r="E201" s="481"/>
      <c r="F201" s="481"/>
      <c r="G201" s="481"/>
      <c r="H201" s="481"/>
      <c r="I201" s="145">
        <v>182</v>
      </c>
      <c r="J201" s="294">
        <f>ROUND(J202+J205-J208,2)</f>
        <v>0</v>
      </c>
      <c r="K201" s="294">
        <f>ROUND(K202+K205-K208,2)</f>
        <v>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c r="K203" s="296"/>
      <c r="L203" s="151" t="str">
        <f t="shared" si="6"/>
        <v>-</v>
      </c>
    </row>
    <row r="204" spans="2:12" ht="14.25">
      <c r="B204" s="147">
        <v>2612</v>
      </c>
      <c r="C204" s="480" t="s">
        <v>2145</v>
      </c>
      <c r="D204" s="481"/>
      <c r="E204" s="481"/>
      <c r="F204" s="481"/>
      <c r="G204" s="481"/>
      <c r="H204" s="481"/>
      <c r="I204" s="145">
        <v>185</v>
      </c>
      <c r="J204" s="295"/>
      <c r="K204" s="296"/>
      <c r="L204" s="151" t="str">
        <f t="shared" si="6"/>
        <v>-</v>
      </c>
    </row>
    <row r="205" spans="2:12" ht="14.25">
      <c r="B205" s="147">
        <v>262</v>
      </c>
      <c r="C205" s="480" t="s">
        <v>2146</v>
      </c>
      <c r="D205" s="481"/>
      <c r="E205" s="481"/>
      <c r="F205" s="481"/>
      <c r="G205" s="481"/>
      <c r="H205" s="481"/>
      <c r="I205" s="145">
        <v>186</v>
      </c>
      <c r="J205" s="294">
        <f>ROUND(SUM(J206:J207),2)</f>
        <v>0</v>
      </c>
      <c r="K205" s="294">
        <f>ROUND(SUM(K206:K207),2)</f>
        <v>0</v>
      </c>
      <c r="L205" s="151" t="str">
        <f t="shared" si="6"/>
        <v>-</v>
      </c>
    </row>
    <row r="206" spans="2:12" ht="14.25">
      <c r="B206" s="147">
        <v>2621</v>
      </c>
      <c r="C206" s="480" t="s">
        <v>2147</v>
      </c>
      <c r="D206" s="481"/>
      <c r="E206" s="481"/>
      <c r="F206" s="481"/>
      <c r="G206" s="481"/>
      <c r="H206" s="481"/>
      <c r="I206" s="145">
        <v>187</v>
      </c>
      <c r="J206" s="295"/>
      <c r="K206" s="296"/>
      <c r="L206" s="151" t="str">
        <f t="shared" si="6"/>
        <v>-</v>
      </c>
    </row>
    <row r="207" spans="2:12" ht="14.25">
      <c r="B207" s="147">
        <v>2622</v>
      </c>
      <c r="C207" s="480" t="s">
        <v>2148</v>
      </c>
      <c r="D207" s="481"/>
      <c r="E207" s="481"/>
      <c r="F207" s="481"/>
      <c r="G207" s="481"/>
      <c r="H207" s="481"/>
      <c r="I207" s="145">
        <v>188</v>
      </c>
      <c r="J207" s="295"/>
      <c r="K207" s="296"/>
      <c r="L207" s="151" t="str">
        <f t="shared" si="6"/>
        <v>-</v>
      </c>
    </row>
    <row r="208" spans="2:12" ht="14.25">
      <c r="B208" s="147">
        <v>269</v>
      </c>
      <c r="C208" s="480" t="s">
        <v>2149</v>
      </c>
      <c r="D208" s="481"/>
      <c r="E208" s="481"/>
      <c r="F208" s="481"/>
      <c r="G208" s="481"/>
      <c r="H208" s="481"/>
      <c r="I208" s="145">
        <v>189</v>
      </c>
      <c r="J208" s="295"/>
      <c r="K208" s="296"/>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c r="K210" s="296"/>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c r="K212" s="296"/>
      <c r="L212" s="151" t="str">
        <f t="shared" si="6"/>
        <v>-</v>
      </c>
    </row>
    <row r="213" spans="2:12" ht="14.25">
      <c r="B213" s="147">
        <v>2922</v>
      </c>
      <c r="C213" s="480" t="s">
        <v>2125</v>
      </c>
      <c r="D213" s="481"/>
      <c r="E213" s="481"/>
      <c r="F213" s="481"/>
      <c r="G213" s="481"/>
      <c r="H213" s="481"/>
      <c r="I213" s="145">
        <v>194</v>
      </c>
      <c r="J213" s="295"/>
      <c r="K213" s="296"/>
      <c r="L213" s="151" t="str">
        <f t="shared" si="6"/>
        <v>-</v>
      </c>
    </row>
    <row r="214" spans="2:12" ht="14.25">
      <c r="B214" s="144">
        <v>5</v>
      </c>
      <c r="C214" s="487" t="s">
        <v>2126</v>
      </c>
      <c r="D214" s="488"/>
      <c r="E214" s="488"/>
      <c r="F214" s="488"/>
      <c r="G214" s="488"/>
      <c r="H214" s="488"/>
      <c r="I214" s="145">
        <v>195</v>
      </c>
      <c r="J214" s="294">
        <f>ROUND(J215+J218-J219,2)</f>
        <v>28552.35</v>
      </c>
      <c r="K214" s="294">
        <f>ROUND(K215+K218-K219,2)</f>
        <v>66355.84</v>
      </c>
      <c r="L214" s="151">
        <f t="shared" si="6"/>
        <v>232.40062551768946</v>
      </c>
    </row>
    <row r="215" spans="2:12" ht="14.25">
      <c r="B215" s="147">
        <v>51</v>
      </c>
      <c r="C215" s="480" t="s">
        <v>2127</v>
      </c>
      <c r="D215" s="481"/>
      <c r="E215" s="481"/>
      <c r="F215" s="481"/>
      <c r="G215" s="481"/>
      <c r="H215" s="481"/>
      <c r="I215" s="145">
        <v>196</v>
      </c>
      <c r="J215" s="294">
        <f>ROUND(SUM(J216:J217),2)</f>
        <v>0</v>
      </c>
      <c r="K215" s="294">
        <f>ROUND(SUM(K216:K217),2)</f>
        <v>0</v>
      </c>
      <c r="L215" s="151" t="str">
        <f t="shared" si="6"/>
        <v>-</v>
      </c>
    </row>
    <row r="216" spans="2:12" ht="14.25">
      <c r="B216" s="147">
        <v>511</v>
      </c>
      <c r="C216" s="480" t="s">
        <v>2128</v>
      </c>
      <c r="D216" s="481"/>
      <c r="E216" s="481"/>
      <c r="F216" s="481"/>
      <c r="G216" s="481"/>
      <c r="H216" s="481"/>
      <c r="I216" s="145">
        <v>197</v>
      </c>
      <c r="J216" s="295"/>
      <c r="K216" s="296"/>
      <c r="L216" s="151" t="str">
        <f t="shared" si="6"/>
        <v>-</v>
      </c>
    </row>
    <row r="217" spans="2:12" ht="14.25">
      <c r="B217" s="147">
        <v>512</v>
      </c>
      <c r="C217" s="480" t="s">
        <v>2129</v>
      </c>
      <c r="D217" s="481"/>
      <c r="E217" s="481"/>
      <c r="F217" s="481"/>
      <c r="G217" s="481"/>
      <c r="H217" s="481"/>
      <c r="I217" s="145">
        <v>198</v>
      </c>
      <c r="J217" s="295"/>
      <c r="K217" s="296"/>
      <c r="L217" s="151" t="str">
        <f t="shared" si="6"/>
        <v>-</v>
      </c>
    </row>
    <row r="218" spans="2:12" ht="14.25">
      <c r="B218" s="147">
        <v>5221</v>
      </c>
      <c r="C218" s="480" t="s">
        <v>2130</v>
      </c>
      <c r="D218" s="481"/>
      <c r="E218" s="481"/>
      <c r="F218" s="481"/>
      <c r="G218" s="481"/>
      <c r="H218" s="481"/>
      <c r="I218" s="145">
        <v>199</v>
      </c>
      <c r="J218" s="295">
        <v>28552.35</v>
      </c>
      <c r="K218" s="296">
        <v>66355.84</v>
      </c>
      <c r="L218" s="151">
        <f t="shared" si="6"/>
        <v>232.40062551768946</v>
      </c>
    </row>
    <row r="219" spans="2:12" ht="14.25">
      <c r="B219" s="148">
        <v>5222</v>
      </c>
      <c r="C219" s="489" t="s">
        <v>2131</v>
      </c>
      <c r="D219" s="490"/>
      <c r="E219" s="490"/>
      <c r="F219" s="490"/>
      <c r="G219" s="490"/>
      <c r="H219" s="490"/>
      <c r="I219" s="149">
        <v>200</v>
      </c>
      <c r="J219" s="297"/>
      <c r="K219" s="298"/>
      <c r="L219" s="152" t="str">
        <f t="shared" si="6"/>
        <v>-</v>
      </c>
    </row>
    <row r="220" spans="2:12" s="27" customFormat="1" ht="12.75">
      <c r="B220" s="482" t="s">
        <v>2132</v>
      </c>
      <c r="C220" s="483"/>
      <c r="D220" s="483"/>
      <c r="E220" s="483"/>
      <c r="F220" s="483"/>
      <c r="G220" s="483"/>
      <c r="H220" s="483"/>
      <c r="I220" s="483"/>
      <c r="J220" s="483"/>
      <c r="K220" s="483"/>
      <c r="L220" s="484"/>
    </row>
    <row r="221" spans="2:12" ht="14.25">
      <c r="B221" s="153">
        <v>61</v>
      </c>
      <c r="C221" s="485" t="s">
        <v>2133</v>
      </c>
      <c r="D221" s="486"/>
      <c r="E221" s="486"/>
      <c r="F221" s="486"/>
      <c r="G221" s="486"/>
      <c r="H221" s="486"/>
      <c r="I221" s="143">
        <v>201</v>
      </c>
      <c r="J221" s="290"/>
      <c r="K221" s="291"/>
      <c r="L221" s="130" t="str">
        <f>IF(J221&gt;0,IF(K221/J221&gt;=100,"&gt;&gt;100",K221/J221*100),"-")</f>
        <v>-</v>
      </c>
    </row>
    <row r="222" spans="2:12" ht="14.25">
      <c r="B222" s="148">
        <v>62</v>
      </c>
      <c r="C222" s="489" t="s">
        <v>2134</v>
      </c>
      <c r="D222" s="490"/>
      <c r="E222" s="490"/>
      <c r="F222" s="490"/>
      <c r="G222" s="490"/>
      <c r="H222" s="490"/>
      <c r="I222" s="149">
        <v>202</v>
      </c>
      <c r="J222" s="292">
        <f>ROUND(J221,2)</f>
        <v>0</v>
      </c>
      <c r="K222" s="292">
        <f>ROUND(K221,2)</f>
        <v>0</v>
      </c>
      <c r="L222" s="131" t="str">
        <f>IF(J222&gt;0,IF(K222/J222&gt;=100,"&gt;&gt;100",K222/J222*100),"-")</f>
        <v>-</v>
      </c>
    </row>
    <row r="223" ht="14.25"/>
    <row r="224" spans="2:12" ht="14.25">
      <c r="B224" s="439"/>
      <c r="C224" s="439"/>
      <c r="D224" s="439"/>
      <c r="E224" s="444"/>
      <c r="F224" s="444"/>
      <c r="G224" s="444"/>
      <c r="H224" s="444"/>
      <c r="I224" s="115"/>
      <c r="J224" s="416" t="s">
        <v>2896</v>
      </c>
      <c r="K224" s="416"/>
      <c r="L224" s="416"/>
    </row>
    <row r="225" spans="2:12" ht="14.25">
      <c r="B225" s="101"/>
      <c r="C225" s="101"/>
      <c r="D225" s="101"/>
      <c r="E225" s="100"/>
      <c r="F225" s="100"/>
      <c r="G225" s="100"/>
      <c r="H225" s="100"/>
      <c r="I225" s="100"/>
      <c r="J225" s="100"/>
      <c r="K225" s="102"/>
      <c r="L225" s="100"/>
    </row>
    <row r="226" spans="2:12" ht="15" thickBot="1">
      <c r="B226" s="154" t="s">
        <v>2316</v>
      </c>
      <c r="C226" s="154"/>
      <c r="D226" s="435" t="str">
        <f>IF(RefStr!O4=1,IF(RefStr!D39&lt;&gt;"",RefStr!D39,""),"")</f>
        <v>IVA JOVOVIĆ</v>
      </c>
      <c r="E226" s="435"/>
      <c r="F226" s="435"/>
      <c r="G226" s="435"/>
      <c r="H226" s="435"/>
      <c r="I226" s="156"/>
      <c r="J226" s="431"/>
      <c r="K226" s="431"/>
      <c r="L226" s="431"/>
    </row>
    <row r="227" spans="2:12" ht="15" thickBot="1">
      <c r="B227" s="441" t="s">
        <v>2317</v>
      </c>
      <c r="C227" s="441"/>
      <c r="D227" s="158" t="str">
        <f>IF(RefStr!O4=1,IF(RefStr!D41&lt;&gt;"",RefStr!D41,""),"")</f>
        <v>12.02.2024.</v>
      </c>
      <c r="E227" s="159"/>
      <c r="F227" s="159"/>
      <c r="G227" s="159"/>
      <c r="H227" s="160"/>
      <c r="I227" s="161"/>
      <c r="J227" s="161"/>
      <c r="K227" s="162"/>
      <c r="L227" s="161"/>
    </row>
    <row r="228" spans="2:12" ht="15" thickBot="1">
      <c r="B228" s="447" t="s">
        <v>1902</v>
      </c>
      <c r="C228" s="447"/>
      <c r="D228" s="435" t="str">
        <f>IF(RefStr!O4=1,IF(RefStr!D43&lt;&gt;"",RefStr!D43,""),"")</f>
        <v>MIRA DRAGOSAVAC M.</v>
      </c>
      <c r="E228" s="435"/>
      <c r="F228" s="435"/>
      <c r="G228" s="435"/>
      <c r="H228" s="154"/>
      <c r="I228" s="154"/>
      <c r="J228" s="154"/>
      <c r="K228" s="154"/>
      <c r="L228" s="154"/>
    </row>
    <row r="229" spans="2:12" ht="15" thickBot="1">
      <c r="B229" s="441" t="s">
        <v>1903</v>
      </c>
      <c r="C229" s="441"/>
      <c r="D229" s="442" t="str">
        <f>IF(RefStr!O4=1,IF(RefStr!D45&lt;&gt;"",RefStr!D45,""),"")</f>
        <v>01/3632349</v>
      </c>
      <c r="E229" s="442"/>
      <c r="F229" s="154"/>
      <c r="G229" s="163"/>
      <c r="H229" s="163"/>
      <c r="I229" s="163"/>
      <c r="J229" s="163"/>
      <c r="K229" s="163"/>
      <c r="L229" s="163"/>
    </row>
    <row r="230" spans="2:12" ht="15" thickBot="1">
      <c r="B230" s="441" t="s">
        <v>1482</v>
      </c>
      <c r="C230" s="441"/>
      <c r="D230" s="443" t="str">
        <f>IF(RefStr!O4=1,IF(RefStr!D47&lt;&gt;"",RefStr!D47,""),"")</f>
        <v>01/3632349</v>
      </c>
      <c r="E230" s="443"/>
      <c r="F230" s="164"/>
      <c r="G230" s="164"/>
      <c r="H230" s="164"/>
      <c r="I230" s="164"/>
      <c r="J230" s="164"/>
      <c r="K230" s="163"/>
      <c r="L230" s="163"/>
    </row>
    <row r="231" spans="2:12" ht="15" thickBot="1">
      <c r="B231" s="441" t="s">
        <v>1904</v>
      </c>
      <c r="C231" s="441"/>
      <c r="D231" s="440" t="str">
        <f>IF(RefStr!O4=1,IF(RefStr!D49&lt;&gt;"",RefStr!D49,""),"")</f>
        <v>let@udruga-let.hr</v>
      </c>
      <c r="E231" s="440"/>
      <c r="F231" s="440"/>
      <c r="G231" s="440"/>
      <c r="H231" s="164"/>
      <c r="I231" s="164"/>
      <c r="J231" s="164"/>
      <c r="K231" s="164"/>
      <c r="L231" s="164"/>
    </row>
    <row r="232" ht="14.25"/>
  </sheetData>
  <sheetProtection password="C79A" sheet="1" objects="1" scenarios="1"/>
  <mergeCells count="240">
    <mergeCell ref="C24:H24"/>
    <mergeCell ref="C25:H25"/>
    <mergeCell ref="C26:H26"/>
    <mergeCell ref="C29:H29"/>
    <mergeCell ref="C27:H27"/>
    <mergeCell ref="C19:H19"/>
    <mergeCell ref="C20:H20"/>
    <mergeCell ref="C21:H21"/>
    <mergeCell ref="C23:H23"/>
    <mergeCell ref="C22:H22"/>
    <mergeCell ref="C58:H58"/>
    <mergeCell ref="C53:H53"/>
    <mergeCell ref="C49:H49"/>
    <mergeCell ref="C28:H28"/>
    <mergeCell ref="C55:H55"/>
    <mergeCell ref="C54:H54"/>
    <mergeCell ref="C41:H41"/>
    <mergeCell ref="C43:H43"/>
    <mergeCell ref="C30:H30"/>
    <mergeCell ref="C32:H32"/>
    <mergeCell ref="C37:H37"/>
    <mergeCell ref="C39:H39"/>
    <mergeCell ref="C42:H42"/>
    <mergeCell ref="C48:H48"/>
    <mergeCell ref="C40:H40"/>
    <mergeCell ref="C46:H46"/>
    <mergeCell ref="C38:H38"/>
    <mergeCell ref="C36:H36"/>
    <mergeCell ref="C31:H31"/>
    <mergeCell ref="C61:H61"/>
    <mergeCell ref="C59:H59"/>
    <mergeCell ref="C51:H51"/>
    <mergeCell ref="C50:H50"/>
    <mergeCell ref="C33:H33"/>
    <mergeCell ref="C34:H34"/>
    <mergeCell ref="C45:H45"/>
    <mergeCell ref="C44:H44"/>
    <mergeCell ref="C109:H109"/>
    <mergeCell ref="C107:H107"/>
    <mergeCell ref="C96:H96"/>
    <mergeCell ref="C95:H95"/>
    <mergeCell ref="C104:H104"/>
    <mergeCell ref="C106:H106"/>
    <mergeCell ref="C105:H105"/>
    <mergeCell ref="C102:H102"/>
    <mergeCell ref="C52:H52"/>
    <mergeCell ref="C71:H71"/>
    <mergeCell ref="C93:H93"/>
    <mergeCell ref="C79:H79"/>
    <mergeCell ref="C88:H88"/>
    <mergeCell ref="C87:H87"/>
    <mergeCell ref="C86:H86"/>
    <mergeCell ref="C81:H81"/>
    <mergeCell ref="C85:H85"/>
    <mergeCell ref="C83:H83"/>
    <mergeCell ref="C91:H91"/>
    <mergeCell ref="C97:H97"/>
    <mergeCell ref="C99:H99"/>
    <mergeCell ref="C101:H101"/>
    <mergeCell ref="C98:H98"/>
    <mergeCell ref="C89:H89"/>
    <mergeCell ref="C90:H90"/>
    <mergeCell ref="C62:H62"/>
    <mergeCell ref="C68:H68"/>
    <mergeCell ref="C66:H66"/>
    <mergeCell ref="C65:H65"/>
    <mergeCell ref="C70:H70"/>
    <mergeCell ref="C69:H69"/>
    <mergeCell ref="C67:H67"/>
    <mergeCell ref="C63:H63"/>
    <mergeCell ref="C111:H111"/>
    <mergeCell ref="C113:H113"/>
    <mergeCell ref="C114:H114"/>
    <mergeCell ref="C112:H112"/>
    <mergeCell ref="C123:H123"/>
    <mergeCell ref="C74:H74"/>
    <mergeCell ref="C94:H94"/>
    <mergeCell ref="C103:H103"/>
    <mergeCell ref="C100:H100"/>
    <mergeCell ref="C84:H84"/>
    <mergeCell ref="C140:H140"/>
    <mergeCell ref="C142:H142"/>
    <mergeCell ref="C141:H141"/>
    <mergeCell ref="C165:H165"/>
    <mergeCell ref="C157:H157"/>
    <mergeCell ref="C156:H156"/>
    <mergeCell ref="C149:H149"/>
    <mergeCell ref="C148:H148"/>
    <mergeCell ref="C159:H159"/>
    <mergeCell ref="C158:H158"/>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64:H164"/>
    <mergeCell ref="C161:H161"/>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B228:C228"/>
    <mergeCell ref="C180:H180"/>
    <mergeCell ref="C178:H178"/>
    <mergeCell ref="C179:H179"/>
    <mergeCell ref="C202:H202"/>
    <mergeCell ref="C198:H198"/>
    <mergeCell ref="C194:H194"/>
    <mergeCell ref="C182:H182"/>
    <mergeCell ref="C185:H185"/>
    <mergeCell ref="C193:H193"/>
    <mergeCell ref="C195:H195"/>
    <mergeCell ref="C214:H214"/>
    <mergeCell ref="C222:H222"/>
    <mergeCell ref="C219:H219"/>
    <mergeCell ref="C192:H192"/>
    <mergeCell ref="C186:H186"/>
    <mergeCell ref="C189:H189"/>
    <mergeCell ref="C188:H188"/>
    <mergeCell ref="C197:H197"/>
    <mergeCell ref="C187:H187"/>
    <mergeCell ref="C211:H211"/>
    <mergeCell ref="C206:H206"/>
    <mergeCell ref="C203:H203"/>
    <mergeCell ref="C201:H201"/>
    <mergeCell ref="C199:H199"/>
    <mergeCell ref="C204:H204"/>
    <mergeCell ref="C200:H200"/>
    <mergeCell ref="C128:H128"/>
    <mergeCell ref="C130:H130"/>
    <mergeCell ref="C136:H136"/>
    <mergeCell ref="C135:H135"/>
    <mergeCell ref="C133:H133"/>
    <mergeCell ref="C184:H184"/>
    <mergeCell ref="C138:H138"/>
    <mergeCell ref="C167:H167"/>
    <mergeCell ref="C152:H152"/>
    <mergeCell ref="C151:H151"/>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Udruga Let</cp:lastModifiedBy>
  <cp:lastPrinted>2024-02-12T17:36:37Z</cp:lastPrinted>
  <dcterms:created xsi:type="dcterms:W3CDTF">2001-11-21T09:32:18Z</dcterms:created>
  <dcterms:modified xsi:type="dcterms:W3CDTF">2024-02-13T12:02:58Z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